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I3Z1yRBBMKiVNXBM0L+2kAPYcciDCGPhIdaFie4hYrWrihvBnzP7fryuZ3/xJ9Fx3hwcuyGjO8WYIQjdr2i3yg==" saltValue="pHoZxBUoQDfEnOQAXfbCtg==" spinCount="100000"/>
  <workbookPr filterPrivacy="1" showInkAnnotation="0" codeName="ThisWorkbook" defaultThemeVersion="124226"/>
  <xr:revisionPtr revIDLastSave="0" documentId="8_{0334E78A-61BF-447C-91E7-7964FC4AC6EE}"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1" r:id="rId6"/>
    <sheet name="WS B-3-A" sheetId="58" r:id="rId7"/>
    <sheet name="WS B-3-B" sheetId="59"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52" r:id="rId23"/>
    <sheet name="IMC - WS P Dep. Rates" sheetId="53" r:id="rId24"/>
    <sheet name="WSQ Schedule 1A" sheetId="50" r:id="rId25"/>
    <sheet name="KGP - WS P Dep. Rates" sheetId="54" r:id="rId26"/>
    <sheet name="KPC - WS P Dep. Rates" sheetId="55" r:id="rId27"/>
    <sheet name="OPC - WS P Dep. Rates" sheetId="56" r:id="rId28"/>
    <sheet name="WPC-WS P Dep. Rates" sheetId="57" r:id="rId29"/>
    <sheet name="WSQ NSPR" sheetId="47" r:id="rId30"/>
    <sheet name="WSQ Schedule 12" sheetId="49" r:id="rId31"/>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TCOS!$A$1:$L$393</definedName>
    <definedName name="_xlnm.Print_Area" localSheetId="28">'WPC-WS P Dep. Rates'!#REF!</definedName>
    <definedName name="_xlnm.Print_Area" localSheetId="4">'WS B-2 - Actual Stmt. AG'!$A$1:$S$111</definedName>
    <definedName name="_xlnm.Print_Area" localSheetId="6">'WS B-3-A'!$A$1:$N$58</definedName>
    <definedName name="_xlnm.Print_Area" localSheetId="10">'WS E Rev Credits'!$A$1:$L$41</definedName>
    <definedName name="_xlnm.Print_Area" localSheetId="16">'WS J PROJECTED RTEP RR'!$A$1:$O$259</definedName>
    <definedName name="_xlnm.Print_Area" localSheetId="18">'WS L Reserved'!$A$1:$F$42</definedName>
    <definedName name="_xlnm.Print_Area" localSheetId="19">'WS M - Cost of Capital'!$A$1:$L$106</definedName>
    <definedName name="_xlnm.Print_Area" localSheetId="21">'WS O - PBOP'!$A$1:$K$59</definedName>
    <definedName name="_xlnm.Print_Area" localSheetId="29">'WSQ NSPR'!$A$1:$K$57</definedName>
    <definedName name="_xlnm.Print_Area">#REF!</definedName>
    <definedName name="_xlnm.Print_Titles" localSheetId="28">'WPC-WS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Capital'!$A$10:$N$75</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Capital'!$A$10:$N$75</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Capital'!$A$10:$N$75</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Capital'!$A$10:$N$75</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0" l="1"/>
  <c r="F31" i="10"/>
  <c r="F18" i="10" l="1"/>
  <c r="F10" i="10"/>
  <c r="F14" i="10" l="1"/>
  <c r="F22" i="10" l="1"/>
  <c r="A8" i="47" l="1"/>
  <c r="C190" i="20" l="1"/>
  <c r="C191" i="20" s="1"/>
  <c r="C192" i="20" s="1"/>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K185" i="20"/>
  <c r="I184" i="20"/>
  <c r="O171" i="20"/>
  <c r="N171" i="20"/>
  <c r="D190" i="20" l="1"/>
  <c r="F33" i="10" l="1"/>
  <c r="G185" i="2"/>
  <c r="K71" i="6" l="1"/>
  <c r="K70" i="6"/>
  <c r="K67" i="6"/>
  <c r="K64" i="6"/>
  <c r="K63" i="6"/>
  <c r="K62" i="6"/>
  <c r="K51" i="6"/>
  <c r="K50" i="6"/>
  <c r="K47" i="6"/>
  <c r="K44" i="6"/>
  <c r="K43" i="6"/>
  <c r="K42" i="6"/>
  <c r="F38" i="58" l="1"/>
  <c r="D38" i="58"/>
  <c r="H36" i="58"/>
  <c r="L33" i="58"/>
  <c r="N33" i="58" s="1"/>
  <c r="H33" i="58"/>
  <c r="J31" i="58"/>
  <c r="J36" i="58" s="1"/>
  <c r="H31" i="58"/>
  <c r="F27" i="58"/>
  <c r="D24" i="58"/>
  <c r="D25" i="58" s="1"/>
  <c r="H25" i="58" s="1"/>
  <c r="L21" i="58"/>
  <c r="N21" i="58" s="1"/>
  <c r="H21" i="58"/>
  <c r="L19" i="58"/>
  <c r="N19" i="58" s="1"/>
  <c r="H19" i="58"/>
  <c r="J17" i="58"/>
  <c r="L17" i="58" s="1"/>
  <c r="D17" i="58"/>
  <c r="A16" i="58"/>
  <c r="A17" i="58" s="1"/>
  <c r="A19" i="58" s="1"/>
  <c r="A21" i="58" s="1"/>
  <c r="A23" i="58" s="1"/>
  <c r="A24" i="58" s="1"/>
  <c r="A25" i="58" s="1"/>
  <c r="A27" i="58" s="1"/>
  <c r="A31" i="58" s="1"/>
  <c r="A33" i="58" s="1"/>
  <c r="A36" i="58" s="1"/>
  <c r="A38" i="58" s="1"/>
  <c r="D27" i="58" l="1"/>
  <c r="J25" i="58"/>
  <c r="L25" i="58" s="1"/>
  <c r="N25" i="58" s="1"/>
  <c r="J38" i="58"/>
  <c r="L36" i="58"/>
  <c r="N36" i="58" s="1"/>
  <c r="H17" i="58"/>
  <c r="N17" i="58"/>
  <c r="L31" i="58"/>
  <c r="N27" i="58" l="1"/>
  <c r="L27" i="58"/>
  <c r="J27" i="58"/>
  <c r="L38" i="58"/>
  <c r="N31" i="58"/>
  <c r="N38" i="58" s="1"/>
  <c r="G42" i="41" l="1"/>
  <c r="E42" i="41"/>
  <c r="D42" i="41"/>
  <c r="C42" i="41"/>
  <c r="E23" i="41"/>
  <c r="D23" i="41"/>
  <c r="F23" i="41" l="1"/>
  <c r="C23" i="41"/>
  <c r="F42" i="41"/>
  <c r="F62" i="35" l="1"/>
  <c r="E62" i="35"/>
  <c r="F42" i="35"/>
  <c r="F23" i="35"/>
  <c r="D8" i="49" l="1"/>
  <c r="A8" i="49"/>
  <c r="A17" i="50"/>
  <c r="A17" i="49"/>
  <c r="B39" i="50"/>
  <c r="B40" i="50" s="1"/>
  <c r="B41" i="50" s="1"/>
  <c r="B42" i="50" s="1"/>
  <c r="B43" i="50" s="1"/>
  <c r="B44" i="50" s="1"/>
  <c r="B45" i="50" s="1"/>
  <c r="B46" i="50" s="1"/>
  <c r="B47" i="50" s="1"/>
  <c r="B48" i="50" s="1"/>
  <c r="B49" i="50" s="1"/>
  <c r="B50" i="50" s="1"/>
  <c r="B36" i="50"/>
  <c r="B21" i="50"/>
  <c r="B22" i="50" s="1"/>
  <c r="B23" i="50" s="1"/>
  <c r="B24" i="50" s="1"/>
  <c r="B25" i="50" s="1"/>
  <c r="B26" i="50" s="1"/>
  <c r="B27" i="50" s="1"/>
  <c r="B28" i="50" s="1"/>
  <c r="B29" i="50" s="1"/>
  <c r="B30" i="50" s="1"/>
  <c r="B31" i="50" s="1"/>
  <c r="B32" i="50" s="1"/>
  <c r="B39" i="49"/>
  <c r="B40" i="49" s="1"/>
  <c r="B41" i="49" s="1"/>
  <c r="B42" i="49" s="1"/>
  <c r="B43" i="49" s="1"/>
  <c r="B44" i="49" s="1"/>
  <c r="B45" i="49" s="1"/>
  <c r="B46" i="49" s="1"/>
  <c r="B47" i="49" s="1"/>
  <c r="B48" i="49" s="1"/>
  <c r="B49" i="49" s="1"/>
  <c r="B50" i="49" s="1"/>
  <c r="B36" i="49"/>
  <c r="B21" i="49"/>
  <c r="B22" i="49" s="1"/>
  <c r="B23" i="49" s="1"/>
  <c r="B24" i="49" s="1"/>
  <c r="B25" i="49" s="1"/>
  <c r="B26" i="49" s="1"/>
  <c r="B27" i="49" s="1"/>
  <c r="B28" i="49" s="1"/>
  <c r="B29" i="49" s="1"/>
  <c r="B30" i="49" s="1"/>
  <c r="B31" i="49" s="1"/>
  <c r="B32" i="49" s="1"/>
  <c r="B39" i="47"/>
  <c r="B36" i="47"/>
  <c r="B21" i="47"/>
  <c r="A8" i="50" l="1"/>
  <c r="F86" i="35"/>
  <c r="B72" i="51" l="1"/>
  <c r="O48" i="51"/>
  <c r="N48" i="51"/>
  <c r="L48" i="51"/>
  <c r="K48" i="51"/>
  <c r="F48" i="51"/>
  <c r="B48" i="51"/>
  <c r="M48" i="51"/>
  <c r="P44" i="51"/>
  <c r="P40" i="51"/>
  <c r="Q39" i="51"/>
  <c r="P38" i="51"/>
  <c r="P37" i="51"/>
  <c r="Q36" i="51"/>
  <c r="Q35" i="51"/>
  <c r="P34" i="51"/>
  <c r="O29" i="51"/>
  <c r="N29" i="51"/>
  <c r="L29" i="51"/>
  <c r="K29" i="51"/>
  <c r="J29" i="51"/>
  <c r="I29" i="51"/>
  <c r="F29" i="51"/>
  <c r="B29" i="51"/>
  <c r="M29" i="51"/>
  <c r="P25" i="51"/>
  <c r="P21" i="51"/>
  <c r="Q20" i="51"/>
  <c r="P19" i="51"/>
  <c r="P18" i="51"/>
  <c r="Q17" i="51"/>
  <c r="Q16" i="51"/>
  <c r="P15" i="51"/>
  <c r="Q14" i="51"/>
  <c r="P13" i="51"/>
  <c r="Q29" i="51" l="1"/>
  <c r="Q48" i="51"/>
  <c r="P26" i="51"/>
  <c r="P29" i="51" s="1"/>
  <c r="P45" i="51"/>
  <c r="P48" i="51" s="1"/>
  <c r="B40" i="47" l="1"/>
  <c r="B41" i="47" s="1"/>
  <c r="B42" i="47" s="1"/>
  <c r="B43" i="47" s="1"/>
  <c r="B44" i="47" s="1"/>
  <c r="B45" i="47" s="1"/>
  <c r="B46" i="47" s="1"/>
  <c r="B47" i="47" s="1"/>
  <c r="B48" i="47" s="1"/>
  <c r="B49" i="47" s="1"/>
  <c r="B50" i="47" s="1"/>
  <c r="B22" i="47"/>
  <c r="B23" i="47" s="1"/>
  <c r="B24" i="47" s="1"/>
  <c r="B25" i="47" s="1"/>
  <c r="B26" i="47" s="1"/>
  <c r="B27" i="47" s="1"/>
  <c r="B28" i="47" s="1"/>
  <c r="B29" i="47" s="1"/>
  <c r="B30" i="47" s="1"/>
  <c r="B31" i="47" s="1"/>
  <c r="B32" i="47" s="1"/>
  <c r="G161" i="2" l="1"/>
  <c r="G160" i="2"/>
  <c r="G215" i="2"/>
  <c r="L215" i="2" s="1"/>
  <c r="E88" i="35"/>
  <c r="D88" i="35"/>
  <c r="H253" i="2"/>
  <c r="L18" i="2"/>
  <c r="H41" i="41"/>
  <c r="H40" i="41"/>
  <c r="H39" i="41"/>
  <c r="H38" i="41"/>
  <c r="H37" i="41"/>
  <c r="H36" i="41"/>
  <c r="H35" i="41"/>
  <c r="H34" i="41"/>
  <c r="H33" i="41"/>
  <c r="H32" i="41"/>
  <c r="H31" i="41"/>
  <c r="H30" i="41"/>
  <c r="H29" i="41"/>
  <c r="G13" i="41"/>
  <c r="L180" i="2"/>
  <c r="G167" i="2"/>
  <c r="G44" i="48"/>
  <c r="L266" i="2"/>
  <c r="L265" i="2"/>
  <c r="G272" i="2" s="1"/>
  <c r="J272" i="2" s="1"/>
  <c r="D94" i="41"/>
  <c r="D95" i="41" s="1"/>
  <c r="C94" i="41"/>
  <c r="C95" i="41" s="1"/>
  <c r="D88" i="41"/>
  <c r="D89" i="41" s="1"/>
  <c r="C88" i="41"/>
  <c r="L235" i="2"/>
  <c r="G83" i="2"/>
  <c r="G69" i="2"/>
  <c r="D100" i="20"/>
  <c r="C100" i="20"/>
  <c r="C101" i="20" s="1"/>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K95" i="20"/>
  <c r="I94" i="20"/>
  <c r="O81" i="20"/>
  <c r="N81" i="20"/>
  <c r="G22" i="50"/>
  <c r="G23" i="50" s="1"/>
  <c r="G24" i="50" s="1"/>
  <c r="G25" i="50" s="1"/>
  <c r="G26" i="50" s="1"/>
  <c r="G27" i="50" s="1"/>
  <c r="G28" i="50" s="1"/>
  <c r="G29" i="50" s="1"/>
  <c r="G30" i="50" s="1"/>
  <c r="G31" i="50" s="1"/>
  <c r="G32" i="50" s="1"/>
  <c r="F10" i="50"/>
  <c r="B10" i="50"/>
  <c r="G22" i="49"/>
  <c r="G23" i="49" s="1"/>
  <c r="G24" i="49" s="1"/>
  <c r="G25" i="49" s="1"/>
  <c r="G26" i="49" s="1"/>
  <c r="G27" i="49" s="1"/>
  <c r="G28" i="49" s="1"/>
  <c r="G29" i="49" s="1"/>
  <c r="G30" i="49" s="1"/>
  <c r="G31" i="49" s="1"/>
  <c r="G32" i="49" s="1"/>
  <c r="F10" i="49"/>
  <c r="B10" i="49"/>
  <c r="G22" i="47"/>
  <c r="G23" i="47" s="1"/>
  <c r="G24" i="47" s="1"/>
  <c r="G25" i="47" s="1"/>
  <c r="G26" i="47" s="1"/>
  <c r="G27" i="47" s="1"/>
  <c r="G28" i="47" s="1"/>
  <c r="G29" i="47" s="1"/>
  <c r="G30" i="47" s="1"/>
  <c r="G31" i="47" s="1"/>
  <c r="G32" i="47" s="1"/>
  <c r="F10" i="47"/>
  <c r="B10" i="47"/>
  <c r="C48" i="11"/>
  <c r="F17" i="48"/>
  <c r="B14" i="48"/>
  <c r="A6" i="48"/>
  <c r="A23" i="48"/>
  <c r="A24" i="48" s="1"/>
  <c r="A25" i="48" s="1"/>
  <c r="A26" i="48" s="1"/>
  <c r="A27" i="48" s="1"/>
  <c r="B28" i="48" s="1"/>
  <c r="A4" i="48"/>
  <c r="C63" i="41"/>
  <c r="B48" i="41"/>
  <c r="I29" i="30"/>
  <c r="I30" i="30"/>
  <c r="I31" i="30"/>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109" i="39"/>
  <c r="S72" i="38"/>
  <c r="R72" i="38"/>
  <c r="Q72" i="38"/>
  <c r="O72" i="38"/>
  <c r="N72" i="38"/>
  <c r="M72" i="38"/>
  <c r="D43" i="5"/>
  <c r="D42" i="5"/>
  <c r="D27" i="5"/>
  <c r="D19" i="5"/>
  <c r="F87" i="35"/>
  <c r="S177" i="38"/>
  <c r="S183" i="38" s="1"/>
  <c r="R177" i="38"/>
  <c r="R183" i="38" s="1"/>
  <c r="Q177" i="38"/>
  <c r="Q183" i="38" s="1"/>
  <c r="O177" i="38"/>
  <c r="O183" i="38" s="1"/>
  <c r="N177" i="38"/>
  <c r="N183" i="38" s="1"/>
  <c r="M177" i="38"/>
  <c r="M183" i="38" s="1"/>
  <c r="S71" i="38"/>
  <c r="R71" i="38"/>
  <c r="Q71" i="38"/>
  <c r="O71" i="38"/>
  <c r="N71" i="38"/>
  <c r="M71" i="38"/>
  <c r="F13" i="38"/>
  <c r="B3" i="38"/>
  <c r="A72" i="38"/>
  <c r="D26" i="5" s="1"/>
  <c r="E72" i="38"/>
  <c r="F72" i="38"/>
  <c r="A180" i="38"/>
  <c r="A183" i="38" s="1"/>
  <c r="D35" i="5" s="1"/>
  <c r="A18" i="39"/>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77" i="38"/>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S110" i="39"/>
  <c r="R110" i="39"/>
  <c r="Q110" i="39"/>
  <c r="O110" i="39"/>
  <c r="N110" i="39"/>
  <c r="M110" i="39"/>
  <c r="F110" i="39"/>
  <c r="E110" i="39"/>
  <c r="S184" i="38"/>
  <c r="R184" i="38"/>
  <c r="Q184" i="38"/>
  <c r="O184" i="38"/>
  <c r="N184" i="38"/>
  <c r="M184" i="38"/>
  <c r="F184" i="38"/>
  <c r="E184" i="38"/>
  <c r="K107" i="39"/>
  <c r="J107" i="39"/>
  <c r="I107" i="39"/>
  <c r="D107" i="39"/>
  <c r="C107" i="39"/>
  <c r="K106" i="39"/>
  <c r="J106" i="39"/>
  <c r="I106" i="39"/>
  <c r="F106" i="39"/>
  <c r="E106" i="39"/>
  <c r="F105" i="39"/>
  <c r="E105" i="39"/>
  <c r="F104" i="39"/>
  <c r="F103" i="39"/>
  <c r="E103" i="39"/>
  <c r="E102" i="39"/>
  <c r="F102" i="39"/>
  <c r="F101" i="39"/>
  <c r="E101" i="39"/>
  <c r="F100" i="39"/>
  <c r="E100" i="39"/>
  <c r="F99" i="39"/>
  <c r="E99" i="39"/>
  <c r="F98" i="39"/>
  <c r="E98" i="39"/>
  <c r="F97" i="39"/>
  <c r="E97" i="39"/>
  <c r="F96" i="39"/>
  <c r="E96" i="39"/>
  <c r="K95" i="39"/>
  <c r="D95" i="39"/>
  <c r="C95" i="39"/>
  <c r="I95" i="39"/>
  <c r="D94" i="39"/>
  <c r="J94" i="39"/>
  <c r="I94" i="39"/>
  <c r="C94" i="39"/>
  <c r="C93" i="39"/>
  <c r="K93" i="39"/>
  <c r="J93" i="39"/>
  <c r="D92" i="39"/>
  <c r="K92" i="39"/>
  <c r="J91" i="39"/>
  <c r="I91" i="39"/>
  <c r="D90" i="39"/>
  <c r="J90" i="39"/>
  <c r="I90" i="39"/>
  <c r="I89" i="39"/>
  <c r="K89" i="39"/>
  <c r="J89" i="39"/>
  <c r="D89" i="39"/>
  <c r="C89" i="39"/>
  <c r="J88" i="39"/>
  <c r="D88" i="39"/>
  <c r="K88" i="39"/>
  <c r="K87" i="39"/>
  <c r="D87" i="39"/>
  <c r="C87" i="39"/>
  <c r="I87" i="39"/>
  <c r="D86" i="39"/>
  <c r="J86" i="39"/>
  <c r="I86" i="39"/>
  <c r="C85" i="39"/>
  <c r="J85" i="39"/>
  <c r="J84" i="39"/>
  <c r="K84" i="39"/>
  <c r="D84" i="39"/>
  <c r="K83" i="39"/>
  <c r="J83" i="39"/>
  <c r="I83" i="39"/>
  <c r="D82" i="39"/>
  <c r="J82" i="39"/>
  <c r="I82" i="39"/>
  <c r="I81" i="39"/>
  <c r="K81" i="39"/>
  <c r="J81" i="39"/>
  <c r="D81" i="39"/>
  <c r="C81" i="39"/>
  <c r="J80" i="39"/>
  <c r="D80" i="39"/>
  <c r="K80" i="39"/>
  <c r="K79" i="39"/>
  <c r="D79" i="39"/>
  <c r="C79" i="39"/>
  <c r="I79" i="39"/>
  <c r="D78" i="39"/>
  <c r="J78" i="39"/>
  <c r="I78" i="39"/>
  <c r="C78" i="39"/>
  <c r="C77" i="39"/>
  <c r="K77" i="39"/>
  <c r="J77" i="39"/>
  <c r="J76" i="39"/>
  <c r="K76" i="39"/>
  <c r="K75" i="39"/>
  <c r="J75" i="39"/>
  <c r="I75" i="39"/>
  <c r="D74" i="39"/>
  <c r="J74" i="39"/>
  <c r="I74" i="39"/>
  <c r="I73" i="39"/>
  <c r="K73" i="39"/>
  <c r="J73" i="39"/>
  <c r="D73" i="39"/>
  <c r="C73" i="39"/>
  <c r="J72" i="39"/>
  <c r="D72" i="39"/>
  <c r="K72" i="39"/>
  <c r="K71" i="39"/>
  <c r="D71" i="39"/>
  <c r="C71" i="39"/>
  <c r="I71" i="39"/>
  <c r="D70" i="39"/>
  <c r="J70" i="39"/>
  <c r="I70" i="39"/>
  <c r="D69" i="39"/>
  <c r="C69" i="39"/>
  <c r="J69" i="39"/>
  <c r="J68" i="39"/>
  <c r="K68" i="39"/>
  <c r="D68" i="39"/>
  <c r="J67" i="39"/>
  <c r="I67" i="39"/>
  <c r="D66" i="39"/>
  <c r="J66" i="39"/>
  <c r="I66" i="39"/>
  <c r="I65" i="39"/>
  <c r="K65" i="39"/>
  <c r="J65" i="39"/>
  <c r="D65" i="39"/>
  <c r="C65" i="39"/>
  <c r="D64" i="39"/>
  <c r="J64" i="39"/>
  <c r="K64" i="39"/>
  <c r="D63" i="39"/>
  <c r="K63" i="39"/>
  <c r="C63" i="39"/>
  <c r="I63" i="39"/>
  <c r="D62" i="39"/>
  <c r="J62" i="39"/>
  <c r="I62" i="39"/>
  <c r="C62" i="39"/>
  <c r="D61" i="39"/>
  <c r="C61" i="39"/>
  <c r="K61" i="39"/>
  <c r="J61" i="39"/>
  <c r="D60" i="39"/>
  <c r="K60" i="39"/>
  <c r="J59" i="39"/>
  <c r="I59" i="39"/>
  <c r="D58" i="39"/>
  <c r="J58" i="39"/>
  <c r="I58" i="39"/>
  <c r="I57" i="39"/>
  <c r="K57" i="39"/>
  <c r="J57" i="39"/>
  <c r="D57" i="39"/>
  <c r="C57" i="39"/>
  <c r="D56" i="39"/>
  <c r="J56" i="39"/>
  <c r="K56" i="39"/>
  <c r="D55" i="39"/>
  <c r="K55" i="39"/>
  <c r="C55" i="39"/>
  <c r="I55" i="39"/>
  <c r="D54" i="39"/>
  <c r="C54" i="39"/>
  <c r="I54" i="39"/>
  <c r="K53" i="39"/>
  <c r="I53" i="39"/>
  <c r="J53" i="39"/>
  <c r="D53" i="39"/>
  <c r="K52" i="39"/>
  <c r="D52" i="39"/>
  <c r="C52" i="39"/>
  <c r="I52" i="39"/>
  <c r="D51" i="39"/>
  <c r="J51" i="39"/>
  <c r="I51" i="39"/>
  <c r="C51" i="39"/>
  <c r="I50" i="39"/>
  <c r="C50" i="39"/>
  <c r="J50" i="39"/>
  <c r="J49" i="39"/>
  <c r="K49" i="39"/>
  <c r="K48" i="39"/>
  <c r="J48" i="39"/>
  <c r="I48" i="39"/>
  <c r="D47" i="39"/>
  <c r="K47" i="39"/>
  <c r="J47" i="39"/>
  <c r="I47" i="39"/>
  <c r="I46" i="39"/>
  <c r="K46" i="39"/>
  <c r="J46" i="39"/>
  <c r="D46" i="39"/>
  <c r="C46" i="39"/>
  <c r="J45" i="39"/>
  <c r="D45" i="39"/>
  <c r="K45" i="39"/>
  <c r="K44" i="39"/>
  <c r="D44" i="39"/>
  <c r="C44" i="39"/>
  <c r="I44" i="39"/>
  <c r="D43" i="39"/>
  <c r="J43" i="39"/>
  <c r="I43" i="39"/>
  <c r="C43" i="39"/>
  <c r="I42" i="39"/>
  <c r="C42" i="39"/>
  <c r="J42" i="39"/>
  <c r="J41" i="39"/>
  <c r="K41" i="39"/>
  <c r="K40" i="39"/>
  <c r="J40" i="39"/>
  <c r="I40" i="39"/>
  <c r="D39" i="39"/>
  <c r="K39" i="39"/>
  <c r="J39" i="39"/>
  <c r="I39" i="39"/>
  <c r="I38" i="39"/>
  <c r="K38" i="39"/>
  <c r="J38" i="39"/>
  <c r="D38" i="39"/>
  <c r="C38" i="39"/>
  <c r="J37" i="39"/>
  <c r="D37" i="39"/>
  <c r="K37" i="39"/>
  <c r="K36" i="39"/>
  <c r="D36" i="39"/>
  <c r="C36" i="39"/>
  <c r="I36" i="39"/>
  <c r="D35" i="39"/>
  <c r="J35" i="39"/>
  <c r="I35" i="39"/>
  <c r="C35" i="39"/>
  <c r="I34" i="39"/>
  <c r="C34" i="39"/>
  <c r="J34" i="39"/>
  <c r="J33" i="39"/>
  <c r="K33" i="39"/>
  <c r="K32" i="39"/>
  <c r="J32" i="39"/>
  <c r="I32" i="39"/>
  <c r="D31" i="39"/>
  <c r="K31" i="39"/>
  <c r="J31" i="39"/>
  <c r="I31" i="39"/>
  <c r="I30" i="39"/>
  <c r="K30" i="39"/>
  <c r="J30" i="39"/>
  <c r="D30" i="39"/>
  <c r="C30" i="39"/>
  <c r="J29" i="39"/>
  <c r="D29" i="39"/>
  <c r="K29" i="39"/>
  <c r="K28" i="39"/>
  <c r="D28" i="39"/>
  <c r="C28" i="39"/>
  <c r="I28" i="39"/>
  <c r="D27" i="39"/>
  <c r="J27" i="39"/>
  <c r="I27" i="39"/>
  <c r="I26" i="39"/>
  <c r="J26" i="39"/>
  <c r="K26" i="39"/>
  <c r="C26" i="39"/>
  <c r="J25" i="39"/>
  <c r="D25" i="39"/>
  <c r="K25" i="39"/>
  <c r="C25" i="39"/>
  <c r="D24" i="39"/>
  <c r="C24" i="39"/>
  <c r="K24" i="39"/>
  <c r="I24" i="39"/>
  <c r="C23" i="39"/>
  <c r="I23" i="39"/>
  <c r="K22" i="39"/>
  <c r="C22" i="39"/>
  <c r="I22" i="39"/>
  <c r="D22" i="39"/>
  <c r="J21" i="39"/>
  <c r="K21" i="39"/>
  <c r="I21" i="39"/>
  <c r="D21" i="39"/>
  <c r="D20" i="39"/>
  <c r="C20" i="39"/>
  <c r="K20" i="39"/>
  <c r="D19" i="39"/>
  <c r="K19" i="39"/>
  <c r="J19" i="39"/>
  <c r="I19" i="39"/>
  <c r="D18" i="39"/>
  <c r="K18" i="39"/>
  <c r="C18" i="39"/>
  <c r="I18" i="39"/>
  <c r="J17" i="39"/>
  <c r="S197" i="38"/>
  <c r="R197" i="38"/>
  <c r="Q197" i="38"/>
  <c r="O197" i="38"/>
  <c r="N197" i="38"/>
  <c r="M197" i="38"/>
  <c r="F197" i="38"/>
  <c r="E197" i="38"/>
  <c r="K195" i="38"/>
  <c r="J195" i="38"/>
  <c r="I195" i="38"/>
  <c r="D195" i="38"/>
  <c r="C195" i="38"/>
  <c r="K194" i="38"/>
  <c r="J194" i="38"/>
  <c r="I194" i="38"/>
  <c r="D194" i="38"/>
  <c r="C194" i="38"/>
  <c r="F181" i="38"/>
  <c r="E181" i="38"/>
  <c r="K180" i="38"/>
  <c r="J180" i="38"/>
  <c r="I180" i="38"/>
  <c r="D180" i="38"/>
  <c r="C180" i="38"/>
  <c r="F174" i="38"/>
  <c r="E174" i="38"/>
  <c r="F173" i="38"/>
  <c r="E173" i="38"/>
  <c r="F172" i="38"/>
  <c r="F171" i="38"/>
  <c r="E171" i="38"/>
  <c r="F170" i="38"/>
  <c r="E170" i="38"/>
  <c r="F169" i="38"/>
  <c r="E169" i="38"/>
  <c r="D168" i="38"/>
  <c r="K168" i="38"/>
  <c r="K167" i="38"/>
  <c r="J167" i="38"/>
  <c r="D166" i="38"/>
  <c r="J166" i="38"/>
  <c r="I166" i="38"/>
  <c r="J165" i="38"/>
  <c r="K165" i="38"/>
  <c r="C165" i="38"/>
  <c r="D164" i="38"/>
  <c r="K164" i="38"/>
  <c r="J164" i="38"/>
  <c r="K163" i="38"/>
  <c r="D163" i="38"/>
  <c r="I162" i="38"/>
  <c r="J162" i="38"/>
  <c r="C162" i="38"/>
  <c r="K161" i="38"/>
  <c r="J161" i="38"/>
  <c r="C161" i="38"/>
  <c r="D160" i="38"/>
  <c r="K160" i="38"/>
  <c r="J160" i="38"/>
  <c r="K159" i="38"/>
  <c r="J159" i="38"/>
  <c r="I159" i="38"/>
  <c r="D158" i="38"/>
  <c r="K158" i="38"/>
  <c r="I157" i="38"/>
  <c r="J157" i="38"/>
  <c r="J156" i="38"/>
  <c r="K156" i="38"/>
  <c r="D156" i="38"/>
  <c r="C156" i="38"/>
  <c r="D155" i="38"/>
  <c r="K155" i="38"/>
  <c r="I154" i="38"/>
  <c r="D153" i="38"/>
  <c r="I153" i="38"/>
  <c r="K152" i="38"/>
  <c r="J152" i="38"/>
  <c r="D152" i="38"/>
  <c r="K151" i="38"/>
  <c r="K150" i="38"/>
  <c r="I150" i="38"/>
  <c r="C149" i="38"/>
  <c r="J149" i="38"/>
  <c r="D148" i="38"/>
  <c r="C148" i="38"/>
  <c r="J148" i="38"/>
  <c r="K147" i="38"/>
  <c r="J147" i="38"/>
  <c r="I147" i="38"/>
  <c r="D147" i="38"/>
  <c r="J146" i="38"/>
  <c r="I146" i="38"/>
  <c r="C146" i="38"/>
  <c r="C145" i="38"/>
  <c r="J145" i="38"/>
  <c r="C144" i="38"/>
  <c r="J144" i="38"/>
  <c r="D144" i="38"/>
  <c r="K143" i="38"/>
  <c r="J143" i="38"/>
  <c r="J142" i="38"/>
  <c r="I142" i="38"/>
  <c r="J141" i="38"/>
  <c r="K141" i="38"/>
  <c r="C141" i="38"/>
  <c r="J140" i="38"/>
  <c r="I140" i="38"/>
  <c r="K140" i="38"/>
  <c r="D140" i="38"/>
  <c r="C140" i="38"/>
  <c r="D139" i="38"/>
  <c r="C139" i="38"/>
  <c r="K139" i="38"/>
  <c r="I138" i="38"/>
  <c r="K137" i="38"/>
  <c r="J137" i="38"/>
  <c r="I137" i="38"/>
  <c r="D137" i="38"/>
  <c r="J136" i="38"/>
  <c r="K136" i="38"/>
  <c r="D136" i="38"/>
  <c r="D135" i="38"/>
  <c r="J135" i="38"/>
  <c r="K135" i="38"/>
  <c r="D134" i="38"/>
  <c r="K134" i="38"/>
  <c r="K133" i="38"/>
  <c r="I133" i="38"/>
  <c r="D132" i="38"/>
  <c r="J132" i="38"/>
  <c r="K131" i="38"/>
  <c r="D131" i="38"/>
  <c r="C131" i="38"/>
  <c r="I131" i="38"/>
  <c r="J130" i="38"/>
  <c r="I130" i="38"/>
  <c r="C130" i="38"/>
  <c r="K129" i="38"/>
  <c r="I129" i="38"/>
  <c r="J128" i="38"/>
  <c r="I128" i="38"/>
  <c r="K128" i="38"/>
  <c r="C128" i="38"/>
  <c r="C127" i="38"/>
  <c r="K127" i="38"/>
  <c r="I127" i="38"/>
  <c r="D127" i="38"/>
  <c r="C126" i="38"/>
  <c r="J126" i="38"/>
  <c r="I126" i="38"/>
  <c r="K125" i="38"/>
  <c r="I125" i="38"/>
  <c r="K124" i="38"/>
  <c r="I124" i="38"/>
  <c r="D124" i="38"/>
  <c r="J123" i="38"/>
  <c r="K123" i="38"/>
  <c r="D122" i="38"/>
  <c r="K122" i="38"/>
  <c r="D121" i="38"/>
  <c r="J121" i="38"/>
  <c r="I121" i="38"/>
  <c r="C120" i="38"/>
  <c r="I120" i="38"/>
  <c r="D119" i="38"/>
  <c r="J119" i="38"/>
  <c r="K118" i="38"/>
  <c r="J118" i="38"/>
  <c r="D118" i="38"/>
  <c r="D117" i="38"/>
  <c r="I117" i="38"/>
  <c r="J117" i="38"/>
  <c r="C117" i="38"/>
  <c r="C116" i="38"/>
  <c r="K116" i="38"/>
  <c r="J116" i="38"/>
  <c r="D115" i="38"/>
  <c r="K115" i="38"/>
  <c r="J115" i="38"/>
  <c r="C115" i="38"/>
  <c r="K114" i="38"/>
  <c r="D114" i="38"/>
  <c r="J114" i="38"/>
  <c r="I114" i="38"/>
  <c r="J113" i="38"/>
  <c r="I113" i="38"/>
  <c r="C113" i="38"/>
  <c r="I112" i="38"/>
  <c r="J112" i="38"/>
  <c r="K112" i="38"/>
  <c r="D112" i="38"/>
  <c r="C112" i="38"/>
  <c r="J111" i="38"/>
  <c r="D111" i="38"/>
  <c r="C111" i="38"/>
  <c r="K111" i="38"/>
  <c r="D110" i="38"/>
  <c r="C110" i="38"/>
  <c r="K110" i="38"/>
  <c r="I109" i="38"/>
  <c r="D108" i="38"/>
  <c r="I108" i="38"/>
  <c r="J107" i="38"/>
  <c r="K107" i="38"/>
  <c r="D107" i="38"/>
  <c r="K106" i="38"/>
  <c r="D106" i="38"/>
  <c r="D105" i="38"/>
  <c r="J105" i="38"/>
  <c r="I105" i="38"/>
  <c r="D104" i="38"/>
  <c r="K104" i="38"/>
  <c r="J104" i="38"/>
  <c r="I104" i="38"/>
  <c r="D103" i="38"/>
  <c r="J103" i="38"/>
  <c r="K102" i="38"/>
  <c r="D102" i="38"/>
  <c r="D101" i="38"/>
  <c r="I101" i="38"/>
  <c r="K100" i="38"/>
  <c r="J100" i="38"/>
  <c r="C100" i="38"/>
  <c r="D99" i="38"/>
  <c r="C99" i="38"/>
  <c r="K99" i="38"/>
  <c r="J99" i="38"/>
  <c r="K98" i="38"/>
  <c r="J98" i="38"/>
  <c r="I98" i="38"/>
  <c r="D97" i="38"/>
  <c r="I97" i="38"/>
  <c r="I96" i="38"/>
  <c r="J96" i="38"/>
  <c r="K96" i="38"/>
  <c r="C96" i="38"/>
  <c r="J95" i="38"/>
  <c r="I95" i="38"/>
  <c r="K95" i="38"/>
  <c r="D95" i="38"/>
  <c r="C95" i="38"/>
  <c r="D94" i="38"/>
  <c r="C94" i="38"/>
  <c r="K94" i="38"/>
  <c r="I94" i="38"/>
  <c r="K93" i="38"/>
  <c r="I93" i="38"/>
  <c r="K92" i="38"/>
  <c r="I92" i="38"/>
  <c r="D92" i="38"/>
  <c r="J91" i="38"/>
  <c r="K91" i="38"/>
  <c r="D90" i="38"/>
  <c r="K90" i="38"/>
  <c r="D89" i="38"/>
  <c r="J89" i="38"/>
  <c r="I89" i="38"/>
  <c r="C88" i="38"/>
  <c r="I88" i="38"/>
  <c r="D87" i="38"/>
  <c r="J87" i="38"/>
  <c r="K86" i="38"/>
  <c r="J86" i="38"/>
  <c r="D86" i="38"/>
  <c r="D85" i="38"/>
  <c r="I85" i="38"/>
  <c r="J85" i="38"/>
  <c r="C85" i="38"/>
  <c r="C84" i="38"/>
  <c r="K84" i="38"/>
  <c r="J84" i="38"/>
  <c r="D83" i="38"/>
  <c r="K83" i="38"/>
  <c r="J83" i="38"/>
  <c r="C83" i="38"/>
  <c r="K82" i="38"/>
  <c r="D82" i="38"/>
  <c r="J82" i="38"/>
  <c r="I82" i="38"/>
  <c r="J81" i="38"/>
  <c r="I81" i="38"/>
  <c r="C81" i="38"/>
  <c r="I80" i="38"/>
  <c r="J80" i="38"/>
  <c r="K80" i="38"/>
  <c r="D80" i="38"/>
  <c r="C80" i="38"/>
  <c r="J79" i="38"/>
  <c r="D79" i="38"/>
  <c r="K79" i="38"/>
  <c r="D78" i="38"/>
  <c r="C78" i="38"/>
  <c r="K78" i="38"/>
  <c r="I77" i="38"/>
  <c r="I76" i="38"/>
  <c r="F68" i="38"/>
  <c r="E68" i="38"/>
  <c r="F67" i="38"/>
  <c r="E67" i="38"/>
  <c r="F66" i="38"/>
  <c r="E66" i="38"/>
  <c r="J65" i="38"/>
  <c r="K65" i="38"/>
  <c r="D65" i="38"/>
  <c r="K64" i="38"/>
  <c r="D64" i="38"/>
  <c r="D63" i="38"/>
  <c r="J63" i="38"/>
  <c r="I63" i="38"/>
  <c r="D62" i="38"/>
  <c r="K62" i="38"/>
  <c r="J62" i="38"/>
  <c r="I62" i="38"/>
  <c r="D61" i="38"/>
  <c r="J61" i="38"/>
  <c r="K60" i="38"/>
  <c r="D60" i="38"/>
  <c r="D59" i="38"/>
  <c r="I59" i="38"/>
  <c r="K58" i="38"/>
  <c r="J58" i="38"/>
  <c r="C58" i="38"/>
  <c r="D57" i="38"/>
  <c r="K57" i="38"/>
  <c r="J57" i="38"/>
  <c r="C57" i="38"/>
  <c r="J56" i="38"/>
  <c r="K56" i="38"/>
  <c r="D56" i="38"/>
  <c r="K55" i="38"/>
  <c r="J55" i="38"/>
  <c r="I55" i="38"/>
  <c r="D54" i="38"/>
  <c r="K54" i="38"/>
  <c r="J54" i="38"/>
  <c r="I54" i="38"/>
  <c r="C53" i="38"/>
  <c r="I53" i="38"/>
  <c r="J53" i="38"/>
  <c r="D53" i="38"/>
  <c r="D52" i="38"/>
  <c r="K52" i="38"/>
  <c r="D51" i="38"/>
  <c r="C51" i="38"/>
  <c r="D50" i="38"/>
  <c r="C50" i="38"/>
  <c r="I50" i="38"/>
  <c r="D49" i="38"/>
  <c r="K49" i="38"/>
  <c r="J49" i="38"/>
  <c r="C49" i="38"/>
  <c r="J48" i="38"/>
  <c r="K48" i="38"/>
  <c r="D48" i="38"/>
  <c r="K47" i="38"/>
  <c r="J47" i="38"/>
  <c r="I47" i="38"/>
  <c r="D46" i="38"/>
  <c r="K46" i="38"/>
  <c r="J46" i="38"/>
  <c r="I46" i="38"/>
  <c r="C45" i="38"/>
  <c r="I45" i="38"/>
  <c r="J45" i="38"/>
  <c r="D45" i="38"/>
  <c r="D44" i="38"/>
  <c r="K44" i="38"/>
  <c r="D43" i="38"/>
  <c r="C43" i="38"/>
  <c r="D42" i="38"/>
  <c r="C42" i="38"/>
  <c r="I42" i="38"/>
  <c r="D41" i="38"/>
  <c r="K41" i="38"/>
  <c r="J41" i="38"/>
  <c r="C41" i="38"/>
  <c r="J40" i="38"/>
  <c r="K40" i="38"/>
  <c r="D40" i="38"/>
  <c r="K39" i="38"/>
  <c r="J39" i="38"/>
  <c r="I39" i="38"/>
  <c r="D38" i="38"/>
  <c r="K38" i="38"/>
  <c r="J38" i="38"/>
  <c r="I38" i="38"/>
  <c r="C37" i="38"/>
  <c r="I37" i="38"/>
  <c r="J37" i="38"/>
  <c r="D37" i="38"/>
  <c r="D36" i="38"/>
  <c r="K36" i="38"/>
  <c r="D35" i="38"/>
  <c r="I35" i="38"/>
  <c r="I34" i="38"/>
  <c r="K34" i="38"/>
  <c r="J34" i="38"/>
  <c r="D33" i="38"/>
  <c r="K33" i="38"/>
  <c r="J33" i="38"/>
  <c r="D32" i="38"/>
  <c r="J32" i="38"/>
  <c r="I32" i="38"/>
  <c r="D31" i="38"/>
  <c r="J31" i="38"/>
  <c r="I31" i="38"/>
  <c r="D30" i="38"/>
  <c r="C30" i="38"/>
  <c r="K30" i="38"/>
  <c r="J30" i="38"/>
  <c r="K29" i="38"/>
  <c r="D29" i="38"/>
  <c r="J29" i="38"/>
  <c r="I29" i="38"/>
  <c r="D28" i="38"/>
  <c r="K28" i="38"/>
  <c r="I28" i="38"/>
  <c r="S23" i="38"/>
  <c r="R23" i="38"/>
  <c r="Q23" i="38"/>
  <c r="O23" i="38"/>
  <c r="N23" i="38"/>
  <c r="M23" i="38"/>
  <c r="F21" i="38"/>
  <c r="E21" i="38"/>
  <c r="F20" i="38"/>
  <c r="E20" i="38"/>
  <c r="F19" i="38"/>
  <c r="E19"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E66" i="41"/>
  <c r="E67" i="41"/>
  <c r="E68" i="41"/>
  <c r="E69" i="41"/>
  <c r="E70" i="41"/>
  <c r="E71" i="41"/>
  <c r="E72" i="41"/>
  <c r="F73" i="41"/>
  <c r="B85" i="41"/>
  <c r="B86" i="41"/>
  <c r="B87" i="41"/>
  <c r="B91" i="41"/>
  <c r="B92" i="41"/>
  <c r="B93" i="41"/>
  <c r="B97" i="41"/>
  <c r="B98" i="41"/>
  <c r="B99" i="41"/>
  <c r="C100" i="41"/>
  <c r="C101" i="41" s="1"/>
  <c r="D100" i="41"/>
  <c r="E115" i="2"/>
  <c r="E67" i="35"/>
  <c r="F67" i="35"/>
  <c r="D67" i="35"/>
  <c r="A69" i="35"/>
  <c r="A71" i="35" s="1"/>
  <c r="A75" i="35" s="1"/>
  <c r="A76" i="35" s="1"/>
  <c r="A77" i="35" s="1"/>
  <c r="A78" i="35" s="1"/>
  <c r="A79" i="35" s="1"/>
  <c r="A80" i="35" s="1"/>
  <c r="E80" i="35"/>
  <c r="D80" i="35"/>
  <c r="F79" i="35"/>
  <c r="F78" i="35"/>
  <c r="F77" i="35"/>
  <c r="F76" i="35"/>
  <c r="F75" i="35"/>
  <c r="F71" i="35"/>
  <c r="L111" i="2" s="1"/>
  <c r="F69" i="35"/>
  <c r="G111" i="2" s="1"/>
  <c r="A11" i="35"/>
  <c r="A12" i="35" s="1"/>
  <c r="A13" i="35" s="1"/>
  <c r="A14" i="35" s="1"/>
  <c r="A15" i="35" s="1"/>
  <c r="A16" i="35" s="1"/>
  <c r="A17" i="35" s="1"/>
  <c r="A18" i="35" s="1"/>
  <c r="A19" i="35" s="1"/>
  <c r="A20" i="35" s="1"/>
  <c r="A21" i="35" s="1"/>
  <c r="A22" i="35" s="1"/>
  <c r="A23" i="35" s="1"/>
  <c r="A2" i="35"/>
  <c r="I53" i="30"/>
  <c r="I52" i="30"/>
  <c r="I49" i="30"/>
  <c r="I48" i="30"/>
  <c r="I47" i="30"/>
  <c r="I46" i="30"/>
  <c r="I42" i="30"/>
  <c r="I41" i="30"/>
  <c r="I40" i="30"/>
  <c r="I39" i="30"/>
  <c r="I38" i="30"/>
  <c r="I37" i="30"/>
  <c r="I36" i="30"/>
  <c r="I35" i="30"/>
  <c r="B21" i="7"/>
  <c r="B11" i="7"/>
  <c r="O83" i="13"/>
  <c r="P83" i="13"/>
  <c r="L89" i="13"/>
  <c r="L97" i="13"/>
  <c r="C102" i="13"/>
  <c r="D102" i="13"/>
  <c r="M102" i="13"/>
  <c r="O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A6" i="30"/>
  <c r="D21" i="9"/>
  <c r="G154" i="2" s="1"/>
  <c r="D367" i="2"/>
  <c r="D311" i="2"/>
  <c r="L26" i="20"/>
  <c r="A4" i="21"/>
  <c r="A4" i="30"/>
  <c r="A4" i="11"/>
  <c r="A4" i="10"/>
  <c r="A4" i="9"/>
  <c r="A4" i="8"/>
  <c r="A4" i="7"/>
  <c r="A4" i="6"/>
  <c r="A4" i="5"/>
  <c r="F7" i="2"/>
  <c r="F56" i="2" s="1"/>
  <c r="F136" i="2" s="1"/>
  <c r="F226" i="2" s="1"/>
  <c r="F280" i="2" s="1"/>
  <c r="F16" i="13"/>
  <c r="F18" i="13" s="1"/>
  <c r="E23" i="13" s="1"/>
  <c r="F16" i="20"/>
  <c r="F18" i="20" s="1"/>
  <c r="E23" i="20" s="1"/>
  <c r="B13" i="2"/>
  <c r="C47" i="13" s="1"/>
  <c r="O8" i="20"/>
  <c r="O17" i="21"/>
  <c r="O22" i="21"/>
  <c r="O27" i="21"/>
  <c r="I23" i="6"/>
  <c r="G122" i="2" s="1"/>
  <c r="A24" i="9"/>
  <c r="A25" i="9" s="1"/>
  <c r="A26" i="9" s="1"/>
  <c r="A27" i="9" s="1"/>
  <c r="A28" i="9" s="1"/>
  <c r="A29" i="9" s="1"/>
  <c r="A30" i="9" s="1"/>
  <c r="A31" i="9" s="1"/>
  <c r="A32" i="9" s="1"/>
  <c r="A33" i="9" s="1"/>
  <c r="E152" i="2" s="1"/>
  <c r="A15" i="7"/>
  <c r="A17" i="7" s="1"/>
  <c r="A18" i="7" s="1"/>
  <c r="A19" i="7" s="1"/>
  <c r="A21" i="7" s="1"/>
  <c r="A23" i="7" s="1"/>
  <c r="A17" i="6"/>
  <c r="A21" i="6" s="1"/>
  <c r="A23" i="6" s="1"/>
  <c r="A29" i="6" s="1"/>
  <c r="A31" i="6" s="1"/>
  <c r="A32" i="6" s="1"/>
  <c r="A33" i="6" s="1"/>
  <c r="A39" i="6" s="1"/>
  <c r="A41" i="6" s="1"/>
  <c r="A42" i="6" s="1"/>
  <c r="A43" i="6" s="1"/>
  <c r="A44" i="6" s="1"/>
  <c r="A45" i="6" s="1"/>
  <c r="A46" i="6" s="1"/>
  <c r="A47" i="6" s="1"/>
  <c r="A48" i="6" s="1"/>
  <c r="A49" i="6" s="1"/>
  <c r="A50" i="6" s="1"/>
  <c r="A15" i="30"/>
  <c r="A25" i="30" s="1"/>
  <c r="A27" i="30" s="1"/>
  <c r="A33" i="30" s="1"/>
  <c r="A44" i="30" s="1"/>
  <c r="A51" i="30" s="1"/>
  <c r="A60" i="30" s="1"/>
  <c r="A61" i="30" s="1"/>
  <c r="A63" i="30" s="1"/>
  <c r="A65" i="30" s="1"/>
  <c r="A71" i="30" s="1"/>
  <c r="A72" i="30" s="1"/>
  <c r="A74" i="30" s="1"/>
  <c r="A75" i="30" s="1"/>
  <c r="A79" i="30" s="1"/>
  <c r="A83" i="30" s="1"/>
  <c r="A93" i="30" s="1"/>
  <c r="A100" i="30" s="1"/>
  <c r="A103" i="30" s="1"/>
  <c r="A107" i="30" s="1"/>
  <c r="A110" i="30" s="1"/>
  <c r="A113" i="30" s="1"/>
  <c r="A17" i="11"/>
  <c r="A19" i="11" s="1"/>
  <c r="A20" i="11" s="1"/>
  <c r="A21" i="11" s="1"/>
  <c r="A23" i="11" s="1"/>
  <c r="A24" i="11" s="1"/>
  <c r="A25" i="11" s="1"/>
  <c r="A26" i="11" s="1"/>
  <c r="A28" i="11" s="1"/>
  <c r="A29" i="11" s="1"/>
  <c r="A31" i="11" s="1"/>
  <c r="A32" i="11" s="1"/>
  <c r="A33" i="11" s="1"/>
  <c r="A34" i="11" s="1"/>
  <c r="A35" i="11" s="1"/>
  <c r="A36" i="11" s="1"/>
  <c r="A37" i="11" s="1"/>
  <c r="A38" i="11" s="1"/>
  <c r="A39" i="11" s="1"/>
  <c r="A40" i="11" s="1"/>
  <c r="A41" i="11" s="1"/>
  <c r="J29" i="8"/>
  <c r="A4" i="13"/>
  <c r="A4" i="20"/>
  <c r="C60" i="13"/>
  <c r="K33" i="21"/>
  <c r="A22" i="21"/>
  <c r="A27" i="21" s="1"/>
  <c r="A33" i="21" s="1"/>
  <c r="D217" i="2" s="1"/>
  <c r="L175" i="2"/>
  <c r="G48" i="20" s="1"/>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D58" i="6"/>
  <c r="B56" i="6" s="1"/>
  <c r="G12" i="6"/>
  <c r="G10" i="5"/>
  <c r="B4" i="14"/>
  <c r="O8" i="13"/>
  <c r="P8" i="13"/>
  <c r="C11" i="13"/>
  <c r="C14" i="13"/>
  <c r="C18" i="13"/>
  <c r="C26" i="13"/>
  <c r="C32" i="13"/>
  <c r="C42" i="13"/>
  <c r="C43" i="13"/>
  <c r="C53" i="13"/>
  <c r="C55" i="13"/>
  <c r="C58" i="13"/>
  <c r="C62" i="13"/>
  <c r="C65" i="13"/>
  <c r="C66" i="13"/>
  <c r="C68" i="13"/>
  <c r="C69" i="13"/>
  <c r="C71" i="13"/>
  <c r="A4" i="12"/>
  <c r="A6" i="12"/>
  <c r="A3" i="6"/>
  <c r="A15" i="8"/>
  <c r="A17" i="8" s="1"/>
  <c r="A19" i="8" s="1"/>
  <c r="A21" i="8" s="1"/>
  <c r="A27" i="8" s="1"/>
  <c r="A29" i="8" s="1"/>
  <c r="A31" i="8" s="1"/>
  <c r="A39" i="8" s="1"/>
  <c r="E12" i="6"/>
  <c r="C31" i="6"/>
  <c r="D38" i="6"/>
  <c r="B36" i="6" s="1"/>
  <c r="E10" i="5"/>
  <c r="A17" i="5"/>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D181" i="2"/>
  <c r="C33" i="39"/>
  <c r="I33" i="39"/>
  <c r="C41" i="39"/>
  <c r="I41" i="39"/>
  <c r="K42" i="39"/>
  <c r="C27" i="39"/>
  <c r="C49" i="39"/>
  <c r="I49" i="39"/>
  <c r="I77" i="39"/>
  <c r="D77" i="39"/>
  <c r="I93" i="39"/>
  <c r="D93" i="39"/>
  <c r="O109" i="39"/>
  <c r="J18" i="39"/>
  <c r="K23" i="39"/>
  <c r="I25" i="39"/>
  <c r="D26" i="39"/>
  <c r="D33" i="39"/>
  <c r="K34" i="39"/>
  <c r="D41" i="39"/>
  <c r="D49" i="39"/>
  <c r="K50" i="39"/>
  <c r="K54" i="39"/>
  <c r="C60" i="39"/>
  <c r="I60" i="39"/>
  <c r="K66" i="39"/>
  <c r="C66" i="39"/>
  <c r="K67" i="39"/>
  <c r="C76" i="39"/>
  <c r="I76" i="39"/>
  <c r="K82" i="39"/>
  <c r="C82" i="39"/>
  <c r="C92" i="39"/>
  <c r="I92" i="39"/>
  <c r="C17" i="39"/>
  <c r="K17" i="39"/>
  <c r="Q109" i="39"/>
  <c r="C19" i="39"/>
  <c r="J20" i="39"/>
  <c r="J22" i="39"/>
  <c r="J23" i="39"/>
  <c r="K27" i="39"/>
  <c r="J28" i="39"/>
  <c r="C29" i="39"/>
  <c r="I29" i="39"/>
  <c r="K35" i="39"/>
  <c r="J36" i="39"/>
  <c r="C37" i="39"/>
  <c r="I37" i="39"/>
  <c r="K43" i="39"/>
  <c r="J44" i="39"/>
  <c r="C45" i="39"/>
  <c r="I45" i="39"/>
  <c r="K51" i="39"/>
  <c r="J52" i="39"/>
  <c r="J54" i="39"/>
  <c r="J60" i="39"/>
  <c r="K69" i="39"/>
  <c r="C70" i="39"/>
  <c r="K85" i="39"/>
  <c r="I85" i="39"/>
  <c r="D85" i="39"/>
  <c r="C86" i="39"/>
  <c r="J92" i="39"/>
  <c r="E104" i="39"/>
  <c r="D17" i="39"/>
  <c r="I17" i="39"/>
  <c r="R109" i="39"/>
  <c r="I20" i="39"/>
  <c r="C21" i="39"/>
  <c r="D23" i="39"/>
  <c r="J24" i="39"/>
  <c r="C31" i="39"/>
  <c r="C32" i="39"/>
  <c r="D32" i="39"/>
  <c r="D34" i="39"/>
  <c r="C39" i="39"/>
  <c r="C40" i="39"/>
  <c r="D40" i="39"/>
  <c r="D42" i="39"/>
  <c r="C47" i="39"/>
  <c r="C48" i="39"/>
  <c r="D48" i="39"/>
  <c r="D50" i="39"/>
  <c r="K58" i="39"/>
  <c r="C58" i="39"/>
  <c r="K59" i="39"/>
  <c r="C68" i="39"/>
  <c r="I68" i="39"/>
  <c r="K74" i="39"/>
  <c r="C74" i="39"/>
  <c r="D76" i="39"/>
  <c r="C84" i="39"/>
  <c r="I84" i="39"/>
  <c r="K90" i="39"/>
  <c r="C90" i="39"/>
  <c r="K91" i="39"/>
  <c r="N109" i="39"/>
  <c r="S109" i="39"/>
  <c r="C53" i="39"/>
  <c r="J55" i="39"/>
  <c r="C56" i="39"/>
  <c r="I56" i="39"/>
  <c r="I61" i="39"/>
  <c r="K62" i="39"/>
  <c r="J63" i="39"/>
  <c r="C64" i="39"/>
  <c r="I64" i="39"/>
  <c r="I69" i="39"/>
  <c r="K70" i="39"/>
  <c r="J71" i="39"/>
  <c r="C72" i="39"/>
  <c r="I72" i="39"/>
  <c r="K78" i="39"/>
  <c r="J79" i="39"/>
  <c r="C80" i="39"/>
  <c r="I80" i="39"/>
  <c r="K86" i="39"/>
  <c r="J87" i="39"/>
  <c r="C88" i="39"/>
  <c r="I88" i="39"/>
  <c r="K94" i="39"/>
  <c r="J95" i="39"/>
  <c r="C59" i="39"/>
  <c r="D59" i="39"/>
  <c r="C67" i="39"/>
  <c r="D67" i="39"/>
  <c r="C75" i="39"/>
  <c r="D75" i="39"/>
  <c r="C83" i="39"/>
  <c r="D83" i="39"/>
  <c r="C91" i="39"/>
  <c r="D91" i="39"/>
  <c r="C31" i="38"/>
  <c r="C60" i="38"/>
  <c r="I60" i="38"/>
  <c r="K63" i="38"/>
  <c r="C63" i="38"/>
  <c r="C76" i="38"/>
  <c r="J76" i="38"/>
  <c r="I84" i="38"/>
  <c r="D84" i="38"/>
  <c r="K87" i="38"/>
  <c r="C87" i="38"/>
  <c r="C102" i="38"/>
  <c r="I102" i="38"/>
  <c r="K105" i="38"/>
  <c r="C105" i="38"/>
  <c r="C108" i="38"/>
  <c r="J108" i="38"/>
  <c r="C109" i="38"/>
  <c r="J109" i="38"/>
  <c r="I116" i="38"/>
  <c r="D116" i="38"/>
  <c r="K157" i="38"/>
  <c r="D157" i="38"/>
  <c r="E172" i="38"/>
  <c r="C28" i="38"/>
  <c r="J28" i="38"/>
  <c r="C33" i="38"/>
  <c r="C35" i="38"/>
  <c r="K42" i="38"/>
  <c r="I49" i="38"/>
  <c r="J51" i="38"/>
  <c r="C52" i="38"/>
  <c r="I52" i="38"/>
  <c r="I57" i="38"/>
  <c r="K77" i="38"/>
  <c r="K88" i="38"/>
  <c r="C90" i="38"/>
  <c r="I90" i="38"/>
  <c r="J97" i="38"/>
  <c r="J102" i="38"/>
  <c r="K108" i="38"/>
  <c r="K109" i="38"/>
  <c r="K120" i="38"/>
  <c r="I123" i="38"/>
  <c r="C123" i="38"/>
  <c r="D141" i="38"/>
  <c r="I141" i="38"/>
  <c r="K145" i="38"/>
  <c r="D149" i="38"/>
  <c r="I149" i="38"/>
  <c r="C150" i="38"/>
  <c r="I161" i="38"/>
  <c r="D161" i="38"/>
  <c r="C164" i="38"/>
  <c r="C29" i="38"/>
  <c r="I30" i="38"/>
  <c r="K31" i="38"/>
  <c r="K32" i="38"/>
  <c r="I33" i="38"/>
  <c r="D34" i="38"/>
  <c r="K35" i="38"/>
  <c r="J36" i="38"/>
  <c r="K37" i="38"/>
  <c r="C38" i="38"/>
  <c r="C39" i="38"/>
  <c r="D39" i="38"/>
  <c r="J42" i="38"/>
  <c r="K43" i="38"/>
  <c r="J44" i="38"/>
  <c r="K45" i="38"/>
  <c r="C46" i="38"/>
  <c r="C47" i="38"/>
  <c r="D47" i="38"/>
  <c r="J50" i="38"/>
  <c r="K51" i="38"/>
  <c r="J52" i="38"/>
  <c r="K53" i="38"/>
  <c r="C54" i="38"/>
  <c r="C55" i="38"/>
  <c r="D55" i="38"/>
  <c r="I58" i="38"/>
  <c r="D58" i="38"/>
  <c r="C59" i="38"/>
  <c r="K61" i="38"/>
  <c r="C61" i="38"/>
  <c r="C62" i="38"/>
  <c r="I78" i="38"/>
  <c r="C79" i="38"/>
  <c r="D81" i="38"/>
  <c r="C86" i="38"/>
  <c r="I86" i="38"/>
  <c r="J88" i="38"/>
  <c r="D88" i="38"/>
  <c r="K89" i="38"/>
  <c r="C89" i="38"/>
  <c r="C92" i="38"/>
  <c r="J92" i="38"/>
  <c r="C93" i="38"/>
  <c r="J93" i="38"/>
  <c r="D96" i="38"/>
  <c r="C97" i="38"/>
  <c r="I100" i="38"/>
  <c r="D100" i="38"/>
  <c r="C101" i="38"/>
  <c r="K103" i="38"/>
  <c r="C103" i="38"/>
  <c r="C104" i="38"/>
  <c r="I110" i="38"/>
  <c r="D113" i="38"/>
  <c r="C118" i="38"/>
  <c r="I118" i="38"/>
  <c r="J120" i="38"/>
  <c r="D120" i="38"/>
  <c r="K121" i="38"/>
  <c r="C121" i="38"/>
  <c r="C124" i="38"/>
  <c r="J124" i="38"/>
  <c r="C125" i="38"/>
  <c r="J125" i="38"/>
  <c r="D128" i="38"/>
  <c r="D130" i="38"/>
  <c r="C133" i="38"/>
  <c r="J133" i="38"/>
  <c r="C155" i="38"/>
  <c r="I155" i="38"/>
  <c r="C157" i="38"/>
  <c r="K166" i="38"/>
  <c r="C166" i="38"/>
  <c r="C77" i="38"/>
  <c r="J77" i="38"/>
  <c r="K119" i="38"/>
  <c r="C119" i="38"/>
  <c r="J129" i="38"/>
  <c r="C129" i="38"/>
  <c r="I134" i="38"/>
  <c r="C134" i="38"/>
  <c r="K142" i="38"/>
  <c r="C142" i="38"/>
  <c r="C153" i="38"/>
  <c r="J153" i="38"/>
  <c r="C154" i="38"/>
  <c r="J154" i="38"/>
  <c r="C34" i="38"/>
  <c r="J35" i="38"/>
  <c r="C36" i="38"/>
  <c r="I36" i="38"/>
  <c r="I41" i="38"/>
  <c r="J43" i="38"/>
  <c r="C44" i="38"/>
  <c r="I44" i="38"/>
  <c r="K50" i="38"/>
  <c r="J60" i="38"/>
  <c r="D76" i="38"/>
  <c r="I79" i="38"/>
  <c r="I91" i="38"/>
  <c r="C91" i="38"/>
  <c r="I111" i="38"/>
  <c r="C122" i="38"/>
  <c r="I122" i="38"/>
  <c r="D129" i="38"/>
  <c r="I145" i="38"/>
  <c r="D145" i="38"/>
  <c r="K149" i="38"/>
  <c r="C158" i="38"/>
  <c r="I158" i="38"/>
  <c r="C32" i="38"/>
  <c r="C40" i="38"/>
  <c r="I40" i="38"/>
  <c r="I43" i="38"/>
  <c r="C48" i="38"/>
  <c r="I48" i="38"/>
  <c r="I51" i="38"/>
  <c r="C56" i="38"/>
  <c r="I56" i="38"/>
  <c r="J59" i="38"/>
  <c r="C64" i="38"/>
  <c r="I64" i="38"/>
  <c r="I65" i="38"/>
  <c r="C65" i="38"/>
  <c r="D91" i="38"/>
  <c r="D98" i="38"/>
  <c r="J101" i="38"/>
  <c r="C106" i="38"/>
  <c r="I106" i="38"/>
  <c r="I107" i="38"/>
  <c r="C107" i="38"/>
  <c r="D123" i="38"/>
  <c r="K132" i="38"/>
  <c r="C132" i="38"/>
  <c r="J134" i="38"/>
  <c r="I139" i="38"/>
  <c r="C151" i="38"/>
  <c r="I151" i="38"/>
  <c r="D165" i="38"/>
  <c r="I165" i="38"/>
  <c r="D167" i="38"/>
  <c r="J64" i="38"/>
  <c r="K81" i="38"/>
  <c r="I83" i="38"/>
  <c r="J90" i="38"/>
  <c r="K97" i="38"/>
  <c r="I99" i="38"/>
  <c r="J106" i="38"/>
  <c r="K113" i="38"/>
  <c r="I115" i="38"/>
  <c r="J122" i="38"/>
  <c r="K130" i="38"/>
  <c r="I136" i="38"/>
  <c r="C136" i="38"/>
  <c r="C138" i="38"/>
  <c r="J138" i="38"/>
  <c r="D143" i="38"/>
  <c r="I143" i="38"/>
  <c r="K154" i="38"/>
  <c r="I160" i="38"/>
  <c r="C163" i="38"/>
  <c r="I163" i="38"/>
  <c r="J168" i="38"/>
  <c r="K59" i="38"/>
  <c r="I61" i="38"/>
  <c r="K76" i="38"/>
  <c r="D77" i="38"/>
  <c r="J78" i="38"/>
  <c r="C82" i="38"/>
  <c r="K85" i="38"/>
  <c r="I87" i="38"/>
  <c r="D93" i="38"/>
  <c r="J94" i="38"/>
  <c r="C98" i="38"/>
  <c r="K101" i="38"/>
  <c r="I103" i="38"/>
  <c r="D109" i="38"/>
  <c r="J110" i="38"/>
  <c r="C114" i="38"/>
  <c r="K117" i="38"/>
  <c r="I119" i="38"/>
  <c r="D125" i="38"/>
  <c r="K126" i="38"/>
  <c r="D133" i="38"/>
  <c r="K138" i="38"/>
  <c r="K144" i="38"/>
  <c r="D146" i="38"/>
  <c r="C147" i="38"/>
  <c r="K148" i="38"/>
  <c r="D150" i="38"/>
  <c r="J150" i="38"/>
  <c r="D151" i="38"/>
  <c r="C160" i="38"/>
  <c r="J163" i="38"/>
  <c r="C167" i="38"/>
  <c r="I167" i="38"/>
  <c r="I168" i="38"/>
  <c r="C168" i="38"/>
  <c r="D126" i="38"/>
  <c r="J127" i="38"/>
  <c r="J131" i="38"/>
  <c r="C135" i="38"/>
  <c r="I135" i="38"/>
  <c r="C137" i="38"/>
  <c r="D142" i="38"/>
  <c r="I144" i="38"/>
  <c r="J151" i="38"/>
  <c r="I152" i="38"/>
  <c r="C152" i="38"/>
  <c r="K153" i="38"/>
  <c r="I156" i="38"/>
  <c r="J158" i="38"/>
  <c r="D159" i="38"/>
  <c r="D162" i="38"/>
  <c r="I132" i="38"/>
  <c r="D138" i="38"/>
  <c r="J139" i="38"/>
  <c r="C143" i="38"/>
  <c r="K146" i="38"/>
  <c r="I148" i="38"/>
  <c r="D154" i="38"/>
  <c r="J155" i="38"/>
  <c r="C159" i="38"/>
  <c r="K162" i="38"/>
  <c r="I164" i="38"/>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G53" i="6"/>
  <c r="G31" i="6" s="1"/>
  <c r="J99" i="13"/>
  <c r="E102" i="13" s="1"/>
  <c r="M107" i="13"/>
  <c r="M103" i="13"/>
  <c r="M105" i="13"/>
  <c r="M106" i="13"/>
  <c r="M104" i="13"/>
  <c r="O105" i="13"/>
  <c r="O103" i="13"/>
  <c r="O104" i="13"/>
  <c r="O107" i="13"/>
  <c r="O106" i="13"/>
  <c r="O108" i="13"/>
  <c r="M109" i="13"/>
  <c r="M108" i="13"/>
  <c r="O109" i="13"/>
  <c r="G74" i="6"/>
  <c r="G32" i="6" s="1"/>
  <c r="G33" i="6" s="1"/>
  <c r="G125" i="2" s="1"/>
  <c r="L125" i="2" s="1"/>
  <c r="E73" i="2" l="1"/>
  <c r="G32" i="38"/>
  <c r="G118" i="38"/>
  <c r="G92" i="39"/>
  <c r="I93" i="20"/>
  <c r="I183" i="20"/>
  <c r="G98" i="38"/>
  <c r="P107" i="13"/>
  <c r="H42" i="41"/>
  <c r="G271" i="2" s="1"/>
  <c r="G132" i="38"/>
  <c r="G130" i="38"/>
  <c r="G101" i="39"/>
  <c r="I110" i="39"/>
  <c r="G41" i="39"/>
  <c r="G79" i="39"/>
  <c r="G82" i="38"/>
  <c r="G134" i="38"/>
  <c r="G172" i="38"/>
  <c r="G42" i="38"/>
  <c r="G111" i="38"/>
  <c r="G30" i="39"/>
  <c r="G29" i="39"/>
  <c r="G162" i="38"/>
  <c r="G109" i="38"/>
  <c r="G46" i="38"/>
  <c r="A36" i="9"/>
  <c r="A37" i="9" s="1"/>
  <c r="A38" i="9" s="1"/>
  <c r="A39" i="9" s="1"/>
  <c r="A40" i="9" s="1"/>
  <c r="A41" i="9" s="1"/>
  <c r="G68" i="39"/>
  <c r="E111" i="2"/>
  <c r="G36" i="38"/>
  <c r="G28" i="38"/>
  <c r="G128" i="38"/>
  <c r="G38" i="38"/>
  <c r="E71" i="38"/>
  <c r="G34" i="38"/>
  <c r="G133" i="38"/>
  <c r="G106" i="38"/>
  <c r="G70" i="39"/>
  <c r="G88" i="38"/>
  <c r="G61" i="38"/>
  <c r="G174" i="38"/>
  <c r="G51" i="38"/>
  <c r="G139" i="38"/>
  <c r="B23" i="7"/>
  <c r="C47" i="20"/>
  <c r="G48" i="38"/>
  <c r="G58" i="38"/>
  <c r="G86" i="39"/>
  <c r="B15" i="2"/>
  <c r="B18" i="2" s="1"/>
  <c r="B20" i="2" s="1"/>
  <c r="B27" i="2" s="1"/>
  <c r="B29" i="2" s="1"/>
  <c r="B30" i="2" s="1"/>
  <c r="E31" i="2" s="1"/>
  <c r="G117" i="38"/>
  <c r="G163" i="38"/>
  <c r="G92" i="38"/>
  <c r="G47" i="39"/>
  <c r="G43" i="39"/>
  <c r="G98" i="39"/>
  <c r="G54" i="39"/>
  <c r="G82" i="39"/>
  <c r="G45" i="38"/>
  <c r="G102" i="39"/>
  <c r="G126" i="38"/>
  <c r="G91" i="39"/>
  <c r="G34" i="39"/>
  <c r="G78" i="38"/>
  <c r="G113" i="38"/>
  <c r="G168" i="38"/>
  <c r="G125" i="38"/>
  <c r="G57" i="39"/>
  <c r="C197" i="38"/>
  <c r="G51" i="39"/>
  <c r="G96" i="38"/>
  <c r="F48" i="13"/>
  <c r="G87" i="39"/>
  <c r="G106" i="39"/>
  <c r="G31" i="38"/>
  <c r="G131" i="38"/>
  <c r="G63" i="38"/>
  <c r="I72" i="38"/>
  <c r="G124" i="38"/>
  <c r="G167" i="38"/>
  <c r="G104" i="38"/>
  <c r="G31" i="39"/>
  <c r="G21" i="38"/>
  <c r="G43" i="38"/>
  <c r="G170" i="38"/>
  <c r="G55" i="39"/>
  <c r="J110" i="39"/>
  <c r="G35" i="39"/>
  <c r="G97" i="39"/>
  <c r="G77" i="38"/>
  <c r="A28" i="48"/>
  <c r="A37" i="48" s="1"/>
  <c r="A39" i="48" s="1"/>
  <c r="A41" i="48" s="1"/>
  <c r="G101" i="38"/>
  <c r="G21" i="39"/>
  <c r="G85" i="39"/>
  <c r="G146" i="38"/>
  <c r="G50" i="39"/>
  <c r="G115" i="38"/>
  <c r="G52" i="39"/>
  <c r="G61" i="39"/>
  <c r="G166" i="38"/>
  <c r="G89" i="38"/>
  <c r="G100" i="38"/>
  <c r="G49" i="39"/>
  <c r="C184" i="38"/>
  <c r="G44" i="38"/>
  <c r="G97" i="38"/>
  <c r="G161" i="38"/>
  <c r="G90" i="38"/>
  <c r="G116" i="38"/>
  <c r="K110" i="39"/>
  <c r="G19" i="38"/>
  <c r="A184" i="38"/>
  <c r="G122" i="38"/>
  <c r="G41" i="38"/>
  <c r="G93" i="38"/>
  <c r="G65" i="38"/>
  <c r="G119" i="38"/>
  <c r="G127" i="38"/>
  <c r="G33" i="38"/>
  <c r="G72" i="39"/>
  <c r="G90" i="39"/>
  <c r="G104" i="39"/>
  <c r="G195" i="38"/>
  <c r="G55" i="38"/>
  <c r="A181" i="38"/>
  <c r="G103" i="38"/>
  <c r="G39" i="38"/>
  <c r="G40" i="39"/>
  <c r="G37" i="39"/>
  <c r="G60" i="39"/>
  <c r="G68" i="38"/>
  <c r="G99" i="39"/>
  <c r="E264" i="2"/>
  <c r="E265" i="2"/>
  <c r="G157" i="38"/>
  <c r="G57" i="38"/>
  <c r="G110" i="38"/>
  <c r="G28" i="39"/>
  <c r="G46" i="39"/>
  <c r="G52" i="38"/>
  <c r="G66" i="38"/>
  <c r="G48" i="39"/>
  <c r="O33" i="21"/>
  <c r="G217" i="2" s="1"/>
  <c r="G29" i="38"/>
  <c r="G140" i="38"/>
  <c r="G152" i="38"/>
  <c r="G24" i="39"/>
  <c r="G42" i="39"/>
  <c r="G44" i="39"/>
  <c r="G64" i="39"/>
  <c r="J184" i="38"/>
  <c r="G75" i="39"/>
  <c r="G17" i="39"/>
  <c r="G120" i="38"/>
  <c r="G39" i="39"/>
  <c r="K197" i="38"/>
  <c r="G33" i="39"/>
  <c r="F80" i="35"/>
  <c r="G113" i="2" s="1"/>
  <c r="L113" i="2" s="1"/>
  <c r="G56" i="38"/>
  <c r="G79" i="38"/>
  <c r="G99" i="38"/>
  <c r="G105" i="39"/>
  <c r="G151" i="38"/>
  <c r="G47" i="38"/>
  <c r="G83" i="38"/>
  <c r="G144" i="38"/>
  <c r="G129" i="38"/>
  <c r="G23" i="39"/>
  <c r="D103" i="41"/>
  <c r="D105" i="41" s="1"/>
  <c r="E191" i="2"/>
  <c r="E192" i="2"/>
  <c r="A46" i="11"/>
  <c r="A48" i="11" s="1"/>
  <c r="A49" i="11" s="1"/>
  <c r="E189" i="2"/>
  <c r="E193" i="2"/>
  <c r="F23" i="38"/>
  <c r="A51" i="6"/>
  <c r="A59" i="6" s="1"/>
  <c r="A61" i="6" s="1"/>
  <c r="A62" i="6" s="1"/>
  <c r="A63" i="6" s="1"/>
  <c r="A64" i="6" s="1"/>
  <c r="A65" i="6" s="1"/>
  <c r="A66" i="6" s="1"/>
  <c r="A67" i="6" s="1"/>
  <c r="A68" i="6" s="1"/>
  <c r="A69" i="6" s="1"/>
  <c r="A70" i="6" s="1"/>
  <c r="A71" i="6" s="1"/>
  <c r="G136" i="38"/>
  <c r="G145" i="38"/>
  <c r="G142" i="38"/>
  <c r="G86" i="38"/>
  <c r="K72" i="38"/>
  <c r="G123" i="38"/>
  <c r="G60" i="38"/>
  <c r="M90" i="13"/>
  <c r="N21" i="13" s="1"/>
  <c r="G35" i="38"/>
  <c r="G50" i="38"/>
  <c r="G64" i="38"/>
  <c r="G81" i="38"/>
  <c r="D184" i="38"/>
  <c r="G171" i="38"/>
  <c r="G180" i="38"/>
  <c r="G53" i="39"/>
  <c r="G69" i="39"/>
  <c r="G96" i="39"/>
  <c r="G103" i="39"/>
  <c r="G108" i="38"/>
  <c r="F102" i="13"/>
  <c r="G102" i="13" s="1"/>
  <c r="G40" i="38"/>
  <c r="G105" i="38"/>
  <c r="G19" i="39"/>
  <c r="G37" i="38"/>
  <c r="G49" i="38"/>
  <c r="G18" i="39"/>
  <c r="G20" i="39"/>
  <c r="G22" i="39"/>
  <c r="G154" i="38"/>
  <c r="G150" i="38"/>
  <c r="G30" i="38"/>
  <c r="G17" i="38"/>
  <c r="G137" i="38"/>
  <c r="G149" i="38"/>
  <c r="G76" i="38"/>
  <c r="G80" i="39"/>
  <c r="G56" i="39"/>
  <c r="G58" i="39"/>
  <c r="G45" i="39"/>
  <c r="G27" i="39"/>
  <c r="E23" i="38"/>
  <c r="J72" i="38"/>
  <c r="G59" i="38"/>
  <c r="G62" i="38"/>
  <c r="K184" i="38"/>
  <c r="G112" i="38"/>
  <c r="G135" i="38"/>
  <c r="C72" i="38"/>
  <c r="G85" i="38"/>
  <c r="G95" i="39"/>
  <c r="G160" i="38"/>
  <c r="G114" i="38"/>
  <c r="G138" i="38"/>
  <c r="G165" i="38"/>
  <c r="G107" i="38"/>
  <c r="G153" i="38"/>
  <c r="G121" i="38"/>
  <c r="G164" i="38"/>
  <c r="G141" i="38"/>
  <c r="G87" i="38"/>
  <c r="G66" i="39"/>
  <c r="J197" i="38"/>
  <c r="G62" i="39"/>
  <c r="D110" i="39"/>
  <c r="G81" i="39"/>
  <c r="G93" i="39"/>
  <c r="A18" i="5"/>
  <c r="A19" i="5" s="1"/>
  <c r="A20" i="5" s="1"/>
  <c r="A23" i="5" s="1"/>
  <c r="A25" i="5" s="1"/>
  <c r="A26" i="5" s="1"/>
  <c r="A27" i="5" s="1"/>
  <c r="A28" i="5" s="1"/>
  <c r="A31" i="5" s="1"/>
  <c r="A33" i="5" s="1"/>
  <c r="D71" i="38"/>
  <c r="G67" i="38"/>
  <c r="F71" i="38"/>
  <c r="G169" i="38"/>
  <c r="E177" i="38"/>
  <c r="E183" i="38" s="1"/>
  <c r="G173" i="38"/>
  <c r="F177" i="38"/>
  <c r="F183" i="38" s="1"/>
  <c r="D197" i="38"/>
  <c r="G194" i="38"/>
  <c r="E95" i="41"/>
  <c r="E74" i="2"/>
  <c r="G53" i="38"/>
  <c r="I197" i="38"/>
  <c r="F109" i="39"/>
  <c r="E109" i="39"/>
  <c r="G100" i="39"/>
  <c r="C89" i="41"/>
  <c r="E89" i="41" s="1"/>
  <c r="E88" i="41"/>
  <c r="C103" i="41"/>
  <c r="C105" i="41" s="1"/>
  <c r="A29" i="35"/>
  <c r="A30" i="35" s="1"/>
  <c r="A31" i="35" s="1"/>
  <c r="A32" i="35" s="1"/>
  <c r="A33" i="35" s="1"/>
  <c r="A34" i="35" s="1"/>
  <c r="A35" i="35" s="1"/>
  <c r="A36" i="35" s="1"/>
  <c r="A37" i="35" s="1"/>
  <c r="A38" i="35" s="1"/>
  <c r="A39" i="35" s="1"/>
  <c r="A40" i="35" s="1"/>
  <c r="A41" i="35" s="1"/>
  <c r="A42" i="35" s="1"/>
  <c r="E70" i="2"/>
  <c r="E66" i="2"/>
  <c r="E71" i="2"/>
  <c r="E72" i="2"/>
  <c r="E67" i="2"/>
  <c r="E69" i="2"/>
  <c r="C110" i="39"/>
  <c r="G77" i="39"/>
  <c r="E22" i="13"/>
  <c r="E22" i="20"/>
  <c r="G74" i="39"/>
  <c r="D101" i="41"/>
  <c r="E101" i="41" s="1"/>
  <c r="E100" i="41"/>
  <c r="E266" i="2"/>
  <c r="A29" i="41"/>
  <c r="A30" i="41" s="1"/>
  <c r="A31" i="41" s="1"/>
  <c r="A32" i="41" s="1"/>
  <c r="A33" i="41" s="1"/>
  <c r="A34" i="41" s="1"/>
  <c r="A35" i="41" s="1"/>
  <c r="A36" i="41" s="1"/>
  <c r="A37" i="41" s="1"/>
  <c r="A38" i="41" s="1"/>
  <c r="A39" i="41" s="1"/>
  <c r="A40" i="41" s="1"/>
  <c r="A41" i="41" s="1"/>
  <c r="A42" i="41" s="1"/>
  <c r="A48" i="41" s="1"/>
  <c r="A49" i="41" s="1"/>
  <c r="E267" i="2"/>
  <c r="G158" i="38"/>
  <c r="G155" i="38"/>
  <c r="G54" i="38"/>
  <c r="D72" i="38"/>
  <c r="G102" i="38"/>
  <c r="G94" i="39"/>
  <c r="J177" i="38"/>
  <c r="J183" i="38" s="1"/>
  <c r="J71" i="38"/>
  <c r="K71" i="38"/>
  <c r="I109" i="39"/>
  <c r="G156" i="38"/>
  <c r="G181" i="38"/>
  <c r="G25" i="39"/>
  <c r="G38" i="39"/>
  <c r="G73" i="39"/>
  <c r="E94" i="41"/>
  <c r="I184" i="38"/>
  <c r="G88" i="39"/>
  <c r="G76" i="39"/>
  <c r="G20" i="38"/>
  <c r="G80" i="38"/>
  <c r="G94" i="38"/>
  <c r="G148" i="38"/>
  <c r="G63" i="39"/>
  <c r="G65" i="39"/>
  <c r="G107" i="39"/>
  <c r="F356" i="2"/>
  <c r="G197" i="2" s="1"/>
  <c r="G201" i="2" s="1"/>
  <c r="G207" i="2" s="1"/>
  <c r="P104" i="13"/>
  <c r="P135" i="13"/>
  <c r="P133" i="13"/>
  <c r="P131" i="13"/>
  <c r="P129" i="13"/>
  <c r="P127" i="13"/>
  <c r="P121" i="13"/>
  <c r="P111" i="13"/>
  <c r="J43" i="48"/>
  <c r="H249" i="2"/>
  <c r="L251" i="2"/>
  <c r="P128" i="13"/>
  <c r="P118" i="13"/>
  <c r="P116" i="13"/>
  <c r="P114" i="13"/>
  <c r="G11" i="41"/>
  <c r="G15" i="41"/>
  <c r="G19" i="41"/>
  <c r="P153" i="13"/>
  <c r="P106" i="13"/>
  <c r="L253" i="2"/>
  <c r="P103" i="13"/>
  <c r="I17" i="6"/>
  <c r="G119" i="2" s="1"/>
  <c r="L267" i="2"/>
  <c r="G16" i="41"/>
  <c r="G24" i="48"/>
  <c r="F85" i="35"/>
  <c r="F88" i="35" s="1"/>
  <c r="G115" i="2" s="1"/>
  <c r="G10" i="41"/>
  <c r="G14" i="41"/>
  <c r="G18" i="41"/>
  <c r="G22" i="41"/>
  <c r="G159" i="2"/>
  <c r="P119" i="13"/>
  <c r="I50" i="5"/>
  <c r="P108" i="13"/>
  <c r="P105" i="13"/>
  <c r="P148" i="13"/>
  <c r="P138" i="13"/>
  <c r="P136" i="13"/>
  <c r="P112" i="13"/>
  <c r="G151" i="2"/>
  <c r="C74" i="41"/>
  <c r="E50" i="41" s="1"/>
  <c r="G25" i="48"/>
  <c r="H43" i="48"/>
  <c r="P113" i="13"/>
  <c r="S22" i="21"/>
  <c r="P161" i="13"/>
  <c r="P155" i="13"/>
  <c r="P151" i="13"/>
  <c r="P147" i="13"/>
  <c r="P145" i="13"/>
  <c r="P143" i="13"/>
  <c r="P137" i="13"/>
  <c r="P158" i="13"/>
  <c r="P156" i="13"/>
  <c r="P154" i="13"/>
  <c r="P152" i="13"/>
  <c r="P150" i="13"/>
  <c r="P144" i="13"/>
  <c r="P140" i="13"/>
  <c r="H250" i="2"/>
  <c r="I21" i="6"/>
  <c r="G121" i="2" s="1"/>
  <c r="C21" i="7"/>
  <c r="C23" i="7" s="1"/>
  <c r="G129" i="2" s="1"/>
  <c r="L129" i="2" s="1"/>
  <c r="K45" i="48"/>
  <c r="P149" i="13"/>
  <c r="P132" i="13"/>
  <c r="P130" i="13"/>
  <c r="P126" i="13"/>
  <c r="P124" i="13"/>
  <c r="P122" i="13"/>
  <c r="P120" i="13"/>
  <c r="P125" i="13"/>
  <c r="L264" i="2"/>
  <c r="P159" i="13"/>
  <c r="P141" i="13"/>
  <c r="G22" i="48"/>
  <c r="F47" i="48"/>
  <c r="D47" i="48"/>
  <c r="C28" i="48"/>
  <c r="D22" i="48" s="1"/>
  <c r="P109" i="13"/>
  <c r="P117" i="13"/>
  <c r="P115" i="13"/>
  <c r="G12" i="41"/>
  <c r="E65" i="41"/>
  <c r="J47" i="48"/>
  <c r="P160" i="13"/>
  <c r="G20" i="41"/>
  <c r="E113" i="2"/>
  <c r="A84" i="35"/>
  <c r="N91" i="13"/>
  <c r="D177" i="38"/>
  <c r="D183" i="38" s="1"/>
  <c r="M91" i="13"/>
  <c r="C177" i="38"/>
  <c r="C183" i="38" s="1"/>
  <c r="N90" i="13"/>
  <c r="G84" i="39"/>
  <c r="C109" i="39"/>
  <c r="K109" i="39"/>
  <c r="G159" i="38"/>
  <c r="K177" i="38"/>
  <c r="K183" i="38" s="1"/>
  <c r="G91" i="38"/>
  <c r="I177" i="38"/>
  <c r="I183" i="38" s="1"/>
  <c r="G26" i="39"/>
  <c r="D109" i="39"/>
  <c r="C71" i="38"/>
  <c r="A3" i="7"/>
  <c r="A3" i="8"/>
  <c r="G59" i="39"/>
  <c r="G32" i="39"/>
  <c r="G143" i="38"/>
  <c r="G83" i="39"/>
  <c r="I71" i="38"/>
  <c r="G67" i="39"/>
  <c r="J109" i="39"/>
  <c r="P157" i="13"/>
  <c r="G84" i="38"/>
  <c r="G36" i="39"/>
  <c r="G78" i="39"/>
  <c r="P142" i="13"/>
  <c r="P102" i="13"/>
  <c r="S17" i="21"/>
  <c r="P123" i="13"/>
  <c r="P110" i="13"/>
  <c r="G95" i="38"/>
  <c r="G71" i="39"/>
  <c r="G89" i="39"/>
  <c r="P146" i="13"/>
  <c r="P134" i="13"/>
  <c r="G27" i="48"/>
  <c r="S27" i="21"/>
  <c r="G21" i="41"/>
  <c r="G17" i="41"/>
  <c r="E64" i="41"/>
  <c r="I47" i="48"/>
  <c r="L249" i="2"/>
  <c r="F255" i="2"/>
  <c r="D74" i="41"/>
  <c r="H47" i="48"/>
  <c r="P139" i="13"/>
  <c r="D43" i="48"/>
  <c r="K37" i="48"/>
  <c r="I43" i="48"/>
  <c r="G43" i="48"/>
  <c r="K41" i="48"/>
  <c r="G47" i="48"/>
  <c r="L179" i="2"/>
  <c r="L254" i="2"/>
  <c r="H254" i="2"/>
  <c r="G255" i="2"/>
  <c r="F43" i="48"/>
  <c r="G26" i="48"/>
  <c r="E87" i="2" l="1"/>
  <c r="G23" i="41"/>
  <c r="B31" i="2"/>
  <c r="B33" i="2" s="1"/>
  <c r="B34" i="2" s="1"/>
  <c r="D36" i="2" s="1"/>
  <c r="D33" i="2"/>
  <c r="E20" i="2"/>
  <c r="G184" i="38"/>
  <c r="E81" i="2"/>
  <c r="E104" i="41"/>
  <c r="C104" i="41"/>
  <c r="A186" i="38"/>
  <c r="A188" i="38" s="1"/>
  <c r="A190" i="38" s="1"/>
  <c r="A192" i="38" s="1"/>
  <c r="A193" i="38" s="1"/>
  <c r="A194" i="38" s="1"/>
  <c r="A195" i="38" s="1"/>
  <c r="A196" i="38" s="1"/>
  <c r="A197" i="38" s="1"/>
  <c r="D52" i="5" s="1"/>
  <c r="D34" i="5"/>
  <c r="G23" i="38"/>
  <c r="G197" i="38"/>
  <c r="E86" i="2"/>
  <c r="D103" i="13"/>
  <c r="E103" i="13" s="1"/>
  <c r="G72" i="38"/>
  <c r="D104" i="41"/>
  <c r="G110" i="39"/>
  <c r="E83" i="2"/>
  <c r="D20" i="5"/>
  <c r="G71" i="38"/>
  <c r="D28" i="5"/>
  <c r="G177" i="38"/>
  <c r="G183" i="38" s="1"/>
  <c r="G209" i="2"/>
  <c r="L209" i="2"/>
  <c r="F39" i="20" s="1"/>
  <c r="G109" i="39"/>
  <c r="E82" i="2"/>
  <c r="E88" i="2"/>
  <c r="E85" i="2"/>
  <c r="E80" i="2"/>
  <c r="A49" i="35"/>
  <c r="A50" i="35" s="1"/>
  <c r="A51" i="35" s="1"/>
  <c r="A52" i="35" s="1"/>
  <c r="A53" i="35" s="1"/>
  <c r="A54" i="35" s="1"/>
  <c r="A55" i="35" s="1"/>
  <c r="A56" i="35" s="1"/>
  <c r="A57" i="35" s="1"/>
  <c r="A58" i="35" s="1"/>
  <c r="A59" i="35" s="1"/>
  <c r="A60" i="35" s="1"/>
  <c r="A61" i="35" s="1"/>
  <c r="A62" i="35" s="1"/>
  <c r="D236" i="2" s="1"/>
  <c r="E103" i="41"/>
  <c r="E84" i="2"/>
  <c r="L268" i="2"/>
  <c r="G273" i="2" s="1"/>
  <c r="G274" i="2" s="1"/>
  <c r="H271" i="2" s="1"/>
  <c r="D23" i="48"/>
  <c r="E76" i="41"/>
  <c r="H255" i="2"/>
  <c r="D27" i="48"/>
  <c r="D25" i="48"/>
  <c r="D26" i="48"/>
  <c r="D24" i="48"/>
  <c r="S33" i="21"/>
  <c r="L217" i="2" s="1"/>
  <c r="K47" i="48"/>
  <c r="E160" i="2"/>
  <c r="A43" i="48"/>
  <c r="B43" i="48"/>
  <c r="A34" i="5"/>
  <c r="A35" i="5" s="1"/>
  <c r="A36" i="5" s="1"/>
  <c r="A39" i="5" s="1"/>
  <c r="A41" i="5" s="1"/>
  <c r="C49" i="11"/>
  <c r="E159" i="2"/>
  <c r="O90" i="13"/>
  <c r="O21" i="13"/>
  <c r="P21" i="13" s="1"/>
  <c r="M92" i="13"/>
  <c r="N22" i="13"/>
  <c r="N23" i="13" s="1"/>
  <c r="A50" i="11"/>
  <c r="A51" i="11" s="1"/>
  <c r="N92" i="13"/>
  <c r="O91" i="13"/>
  <c r="O22" i="13"/>
  <c r="A50" i="41"/>
  <c r="A51" i="41" s="1"/>
  <c r="A52" i="41" s="1"/>
  <c r="A53" i="41" s="1"/>
  <c r="A54" i="41" s="1"/>
  <c r="A55" i="41" s="1"/>
  <c r="A56" i="41" s="1"/>
  <c r="K43" i="48"/>
  <c r="A44" i="9" l="1"/>
  <c r="A45" i="9" s="1"/>
  <c r="A46" i="9" s="1"/>
  <c r="A47" i="9" s="1"/>
  <c r="A48" i="9" s="1"/>
  <c r="A49" i="9" s="1"/>
  <c r="A50" i="9" s="1"/>
  <c r="A51" i="9" s="1"/>
  <c r="A52" i="9" s="1"/>
  <c r="A53" i="9" s="1"/>
  <c r="A54" i="9" s="1"/>
  <c r="A55" i="9" s="1"/>
  <c r="A56" i="9" s="1"/>
  <c r="A57" i="9" s="1"/>
  <c r="A58" i="9" s="1"/>
  <c r="A59" i="9" s="1"/>
  <c r="A61" i="9" s="1"/>
  <c r="E168" i="2"/>
  <c r="C70" i="13"/>
  <c r="C70" i="20"/>
  <c r="B36" i="2"/>
  <c r="B37" i="2" s="1"/>
  <c r="B39" i="2" s="1"/>
  <c r="B42" i="2" s="1"/>
  <c r="B44" i="2" s="1"/>
  <c r="D235" i="2"/>
  <c r="F103" i="13"/>
  <c r="D104" i="13" s="1"/>
  <c r="E104" i="13" s="1"/>
  <c r="E39" i="13"/>
  <c r="D36" i="5"/>
  <c r="L262" i="2"/>
  <c r="E105" i="41"/>
  <c r="B56" i="41"/>
  <c r="C51" i="11"/>
  <c r="H273" i="2"/>
  <c r="L273" i="2" s="1"/>
  <c r="E77" i="41"/>
  <c r="E79" i="41" s="1"/>
  <c r="E80" i="41" s="1"/>
  <c r="H272" i="2"/>
  <c r="L272" i="2" s="1"/>
  <c r="O23" i="13"/>
  <c r="P22" i="13"/>
  <c r="P23" i="13" s="1"/>
  <c r="A52" i="11"/>
  <c r="A53" i="11" s="1"/>
  <c r="A45" i="48"/>
  <c r="B47" i="48" s="1"/>
  <c r="A58" i="41"/>
  <c r="E261" i="2"/>
  <c r="B58" i="41"/>
  <c r="O92" i="13"/>
  <c r="A42" i="5"/>
  <c r="A43" i="5" s="1"/>
  <c r="A44" i="5" s="1"/>
  <c r="A47" i="5" s="1"/>
  <c r="A49" i="5" s="1"/>
  <c r="D21" i="20"/>
  <c r="D21" i="13"/>
  <c r="A64" i="9" l="1"/>
  <c r="A65" i="9" s="1"/>
  <c r="E169" i="2"/>
  <c r="B24" i="2"/>
  <c r="F104" i="13"/>
  <c r="D105" i="13" s="1"/>
  <c r="G103" i="13"/>
  <c r="E51" i="41"/>
  <c r="E56" i="41" s="1"/>
  <c r="C53" i="11"/>
  <c r="D23" i="13"/>
  <c r="F23" i="13" s="1"/>
  <c r="I273" i="2"/>
  <c r="D22" i="13"/>
  <c r="F22" i="13" s="1"/>
  <c r="D23" i="20"/>
  <c r="F23" i="20" s="1"/>
  <c r="D22" i="20"/>
  <c r="F22" i="20" s="1"/>
  <c r="I272" i="2"/>
  <c r="B45" i="2"/>
  <c r="D44" i="5"/>
  <c r="A61" i="41"/>
  <c r="D271" i="2"/>
  <c r="E161" i="2"/>
  <c r="A47" i="48"/>
  <c r="C21" i="48" s="1"/>
  <c r="A50" i="5"/>
  <c r="A51" i="5" s="1"/>
  <c r="A52" i="5" s="1"/>
  <c r="C54" i="11"/>
  <c r="A54" i="11"/>
  <c r="I271" i="2" l="1"/>
  <c r="A66" i="9"/>
  <c r="G104" i="13"/>
  <c r="L261" i="2"/>
  <c r="E58" i="41"/>
  <c r="J271" i="2" s="1"/>
  <c r="E21" i="20" s="1"/>
  <c r="F21" i="20" s="1"/>
  <c r="F24" i="20" s="1"/>
  <c r="F29" i="20" s="1"/>
  <c r="C55" i="11"/>
  <c r="A55" i="11"/>
  <c r="A64" i="41"/>
  <c r="D63" i="41"/>
  <c r="B46" i="2"/>
  <c r="B48" i="2" s="1"/>
  <c r="B66" i="2" s="1"/>
  <c r="D51" i="5"/>
  <c r="E105" i="13"/>
  <c r="A67" i="9" l="1"/>
  <c r="E21" i="13"/>
  <c r="F21" i="13" s="1"/>
  <c r="F24" i="13" s="1"/>
  <c r="E29" i="13" s="1"/>
  <c r="L271" i="2"/>
  <c r="B67" i="2"/>
  <c r="B68" i="2" s="1"/>
  <c r="D319" i="2"/>
  <c r="A65" i="41"/>
  <c r="A66" i="41" s="1"/>
  <c r="A67" i="41" s="1"/>
  <c r="A68" i="41" s="1"/>
  <c r="A69" i="41" s="1"/>
  <c r="A70" i="41" s="1"/>
  <c r="A71" i="41" s="1"/>
  <c r="A72" i="41" s="1"/>
  <c r="A73" i="41" s="1"/>
  <c r="A74" i="41" s="1"/>
  <c r="A56" i="11"/>
  <c r="C56" i="11"/>
  <c r="E48" i="2"/>
  <c r="F105" i="13"/>
  <c r="A69" i="9" l="1"/>
  <c r="E170" i="2" s="1"/>
  <c r="B76" i="41"/>
  <c r="L274" i="2"/>
  <c r="G198" i="2" s="1"/>
  <c r="C57" i="11"/>
  <c r="A57" i="11"/>
  <c r="A76" i="41"/>
  <c r="B50" i="41"/>
  <c r="C75" i="20"/>
  <c r="B69" i="2"/>
  <c r="B70" i="2" s="1"/>
  <c r="E234" i="2"/>
  <c r="C75" i="13"/>
  <c r="D106" i="13"/>
  <c r="G105" i="13"/>
  <c r="F35" i="20" l="1"/>
  <c r="E35" i="13"/>
  <c r="L219" i="2"/>
  <c r="G219" i="2"/>
  <c r="B71" i="2"/>
  <c r="A77" i="41"/>
  <c r="A78" i="41" s="1"/>
  <c r="A79" i="41" s="1"/>
  <c r="A80" i="41" s="1"/>
  <c r="E106" i="13"/>
  <c r="B72" i="2" l="1"/>
  <c r="B73" i="2" s="1"/>
  <c r="B74" i="2" s="1"/>
  <c r="A85" i="41"/>
  <c r="B51" i="41"/>
  <c r="B80" i="41"/>
  <c r="F106" i="13"/>
  <c r="B77" i="2" l="1"/>
  <c r="B79" i="2" s="1"/>
  <c r="B80" i="2" s="1"/>
  <c r="E77" i="2"/>
  <c r="A86" i="41"/>
  <c r="D107" i="13"/>
  <c r="G106" i="13"/>
  <c r="A87" i="41" l="1"/>
  <c r="A88" i="41" s="1"/>
  <c r="B81" i="2"/>
  <c r="B82" i="2" s="1"/>
  <c r="E107" i="13"/>
  <c r="F107" i="13" s="1"/>
  <c r="B83" i="2" l="1"/>
  <c r="B84" i="2" s="1"/>
  <c r="E94" i="2"/>
  <c r="A89" i="41"/>
  <c r="B89" i="41"/>
  <c r="B88" i="41"/>
  <c r="D108" i="13"/>
  <c r="G107" i="13"/>
  <c r="E95" i="2" l="1"/>
  <c r="A91" i="41"/>
  <c r="B85" i="2"/>
  <c r="B86" i="2" s="1"/>
  <c r="E108" i="13"/>
  <c r="F108" i="13" s="1"/>
  <c r="E96" i="2" l="1"/>
  <c r="B87" i="2"/>
  <c r="A92" i="41"/>
  <c r="D109" i="13"/>
  <c r="G108" i="13"/>
  <c r="B88" i="2" l="1"/>
  <c r="E97" i="2"/>
  <c r="A93" i="41"/>
  <c r="A94" i="41" s="1"/>
  <c r="E109" i="13"/>
  <c r="F109" i="13" s="1"/>
  <c r="D110" i="13" s="1"/>
  <c r="E98" i="2" l="1"/>
  <c r="B91" i="2"/>
  <c r="B93" i="2" s="1"/>
  <c r="B94" i="2" s="1"/>
  <c r="B95" i="2" s="1"/>
  <c r="E91" i="2"/>
  <c r="B94" i="41"/>
  <c r="A95" i="41"/>
  <c r="B95" i="41"/>
  <c r="G109" i="13"/>
  <c r="E110" i="13"/>
  <c r="F110" i="13" s="1"/>
  <c r="D111" i="13" s="1"/>
  <c r="G110" i="13" l="1"/>
  <c r="A97" i="41"/>
  <c r="B96" i="2"/>
  <c r="B97" i="2" s="1"/>
  <c r="B98" i="2" s="1"/>
  <c r="C64" i="20"/>
  <c r="C64" i="13"/>
  <c r="E111" i="13"/>
  <c r="F111" i="13" s="1"/>
  <c r="B100" i="2" l="1"/>
  <c r="E100" i="2"/>
  <c r="A98" i="41"/>
  <c r="D112" i="13"/>
  <c r="G111" i="13"/>
  <c r="A99" i="41" l="1"/>
  <c r="A100" i="41" s="1"/>
  <c r="B103" i="2"/>
  <c r="B104" i="2" s="1"/>
  <c r="C46" i="11"/>
  <c r="E112" i="13"/>
  <c r="F112" i="13" s="1"/>
  <c r="A101" i="41" l="1"/>
  <c r="B103" i="41"/>
  <c r="B101" i="41"/>
  <c r="B105" i="2"/>
  <c r="B106" i="2" s="1"/>
  <c r="B107" i="2" s="1"/>
  <c r="B108" i="2" s="1"/>
  <c r="B109" i="2" s="1"/>
  <c r="B100" i="41"/>
  <c r="D113" i="13"/>
  <c r="G112" i="13"/>
  <c r="E109" i="2" l="1"/>
  <c r="B111" i="2"/>
  <c r="B113" i="2" s="1"/>
  <c r="B115" i="2" s="1"/>
  <c r="B117" i="2" s="1"/>
  <c r="B118" i="2" s="1"/>
  <c r="A103" i="41"/>
  <c r="B104" i="41"/>
  <c r="E113" i="13"/>
  <c r="F113" i="13" s="1"/>
  <c r="E262" i="2" l="1"/>
  <c r="A104" i="41"/>
  <c r="B119" i="2"/>
  <c r="B121" i="2" s="1"/>
  <c r="B122" i="2" s="1"/>
  <c r="B123" i="2" s="1"/>
  <c r="B124" i="2" s="1"/>
  <c r="B125" i="2" s="1"/>
  <c r="B126" i="2" s="1"/>
  <c r="B127" i="2" s="1"/>
  <c r="D114" i="13"/>
  <c r="G113" i="13"/>
  <c r="E127" i="2" l="1"/>
  <c r="B105" i="41"/>
  <c r="A105" i="41"/>
  <c r="B129" i="2"/>
  <c r="E114" i="13"/>
  <c r="F114" i="13" s="1"/>
  <c r="B131" i="2" l="1"/>
  <c r="D315" i="2"/>
  <c r="D131" i="2"/>
  <c r="D115" i="13"/>
  <c r="G114" i="13"/>
  <c r="C28" i="13" l="1"/>
  <c r="C28" i="20"/>
  <c r="B146" i="2"/>
  <c r="E115" i="13"/>
  <c r="F115" i="13" s="1"/>
  <c r="D116" i="13" s="1"/>
  <c r="B147" i="2" l="1"/>
  <c r="B148" i="2" s="1"/>
  <c r="B149" i="2" s="1"/>
  <c r="B150" i="2" s="1"/>
  <c r="E116" i="13"/>
  <c r="F116" i="13" s="1"/>
  <c r="G115" i="13"/>
  <c r="B151" i="2" l="1"/>
  <c r="B152" i="2" s="1"/>
  <c r="E151" i="2"/>
  <c r="D117" i="13"/>
  <c r="G116" i="13"/>
  <c r="E44" i="2" l="1"/>
  <c r="D310" i="2"/>
  <c r="B153" i="2"/>
  <c r="B154" i="2" s="1"/>
  <c r="E117" i="13"/>
  <c r="F117" i="13" s="1"/>
  <c r="D118" i="13" s="1"/>
  <c r="E155" i="2" l="1"/>
  <c r="G117" i="13"/>
  <c r="D312" i="2"/>
  <c r="B155" i="2"/>
  <c r="E118" i="13"/>
  <c r="F118" i="13" s="1"/>
  <c r="D309" i="2" l="1"/>
  <c r="B157" i="2"/>
  <c r="E118" i="2"/>
  <c r="D119" i="13"/>
  <c r="G118" i="13"/>
  <c r="B158" i="2" l="1"/>
  <c r="E119" i="13"/>
  <c r="F119" i="13" s="1"/>
  <c r="B159" i="2" l="1"/>
  <c r="B160" i="2" s="1"/>
  <c r="B161" i="2" s="1"/>
  <c r="B162" i="2" s="1"/>
  <c r="B163" i="2" s="1"/>
  <c r="B164" i="2" s="1"/>
  <c r="B165" i="2" s="1"/>
  <c r="E167" i="2"/>
  <c r="D120" i="13"/>
  <c r="G119" i="13"/>
  <c r="E165" i="2" l="1"/>
  <c r="B167" i="2"/>
  <c r="B168" i="2" s="1"/>
  <c r="B169" i="2" s="1"/>
  <c r="B170" i="2" s="1"/>
  <c r="B171" i="2" s="1"/>
  <c r="B172" i="2" s="1"/>
  <c r="E120" i="13"/>
  <c r="F120" i="13" s="1"/>
  <c r="E172" i="2" l="1"/>
  <c r="D313" i="2"/>
  <c r="B174" i="2"/>
  <c r="E174" i="2"/>
  <c r="D121" i="13"/>
  <c r="G120" i="13"/>
  <c r="B175" i="2" l="1"/>
  <c r="E176" i="2" s="1"/>
  <c r="E121" i="13"/>
  <c r="F121" i="13" s="1"/>
  <c r="D122" i="13" l="1"/>
  <c r="E122" i="13" s="1"/>
  <c r="F122" i="13" s="1"/>
  <c r="D123" i="13" s="1"/>
  <c r="G121" i="13"/>
  <c r="D326" i="2"/>
  <c r="C48" i="20"/>
  <c r="C48" i="13"/>
  <c r="E30" i="2"/>
  <c r="D328" i="2"/>
  <c r="B176" i="2"/>
  <c r="D323" i="2"/>
  <c r="B178" i="2" l="1"/>
  <c r="B179" i="2" s="1"/>
  <c r="E123" i="13"/>
  <c r="F123" i="13" s="1"/>
  <c r="G122" i="13"/>
  <c r="B180" i="2" l="1"/>
  <c r="B181" i="2" s="1"/>
  <c r="D124" i="13"/>
  <c r="G123" i="13"/>
  <c r="C59" i="13" l="1"/>
  <c r="C76" i="20"/>
  <c r="B182" i="2"/>
  <c r="B183" i="2" s="1"/>
  <c r="B185" i="2" s="1"/>
  <c r="C76" i="13"/>
  <c r="C59" i="20"/>
  <c r="E34" i="2"/>
  <c r="E124" i="13"/>
  <c r="F124" i="13" s="1"/>
  <c r="D125" i="13" s="1"/>
  <c r="E185" i="2" l="1"/>
  <c r="B187" i="2"/>
  <c r="B188" i="2" s="1"/>
  <c r="B189" i="2" s="1"/>
  <c r="E125" i="13"/>
  <c r="F125" i="13" s="1"/>
  <c r="G124" i="13"/>
  <c r="B190" i="2" l="1"/>
  <c r="B191" i="2" s="1"/>
  <c r="B192" i="2" s="1"/>
  <c r="B193" i="2" s="1"/>
  <c r="B194" i="2" s="1"/>
  <c r="D126" i="13"/>
  <c r="G125" i="13"/>
  <c r="E194" i="2" l="1"/>
  <c r="B196" i="2"/>
  <c r="B197" i="2" s="1"/>
  <c r="E126" i="13"/>
  <c r="F126" i="13" s="1"/>
  <c r="D127" i="13" s="1"/>
  <c r="B198" i="2" l="1"/>
  <c r="D201" i="2"/>
  <c r="E127" i="13"/>
  <c r="F127" i="13" s="1"/>
  <c r="G126" i="13"/>
  <c r="D128" i="13" l="1"/>
  <c r="E128" i="13" s="1"/>
  <c r="F128" i="13" s="1"/>
  <c r="D129" i="13" s="1"/>
  <c r="G127" i="13"/>
  <c r="C35" i="13"/>
  <c r="C35" i="20"/>
  <c r="B199" i="2"/>
  <c r="B200" i="2" s="1"/>
  <c r="B201" i="2" s="1"/>
  <c r="B202" i="2" l="1"/>
  <c r="E207" i="2" s="1"/>
  <c r="G128" i="13"/>
  <c r="E129" i="13"/>
  <c r="F129" i="13" s="1"/>
  <c r="D354" i="2" l="1"/>
  <c r="B203" i="2"/>
  <c r="D130" i="13"/>
  <c r="G129" i="13"/>
  <c r="B204" i="2" l="1"/>
  <c r="E208" i="2"/>
  <c r="E130" i="13"/>
  <c r="F130" i="13" s="1"/>
  <c r="D131" i="13" s="1"/>
  <c r="G130" i="13" l="1"/>
  <c r="B206" i="2"/>
  <c r="E209" i="2"/>
  <c r="E131" i="13"/>
  <c r="F131" i="13" s="1"/>
  <c r="D132" i="13" s="1"/>
  <c r="B207" i="2" l="1"/>
  <c r="B208" i="2" s="1"/>
  <c r="B209" i="2" s="1"/>
  <c r="B211" i="2" s="1"/>
  <c r="G131" i="13"/>
  <c r="E132" i="13"/>
  <c r="F132" i="13" s="1"/>
  <c r="E211" i="2" l="1"/>
  <c r="C50" i="13"/>
  <c r="C50" i="20"/>
  <c r="B213" i="2"/>
  <c r="E37" i="2" s="1"/>
  <c r="D133" i="13"/>
  <c r="G132" i="13"/>
  <c r="C49" i="13" l="1"/>
  <c r="B215" i="2"/>
  <c r="C49" i="20"/>
  <c r="E206" i="2"/>
  <c r="E133" i="13"/>
  <c r="F133" i="13" s="1"/>
  <c r="D317" i="2" l="1"/>
  <c r="B217" i="2"/>
  <c r="D134" i="13"/>
  <c r="G133" i="13"/>
  <c r="B219" i="2" l="1"/>
  <c r="D219" i="2"/>
  <c r="E134" i="13"/>
  <c r="F134" i="13" s="1"/>
  <c r="D135" i="13" l="1"/>
  <c r="E135" i="13" s="1"/>
  <c r="F135" i="13" s="1"/>
  <c r="D136" i="13" s="1"/>
  <c r="G134" i="13"/>
  <c r="B221" i="2"/>
  <c r="D222" i="2"/>
  <c r="E13" i="2" l="1"/>
  <c r="B234" i="2"/>
  <c r="G135" i="13"/>
  <c r="E136" i="13"/>
  <c r="F136" i="13" s="1"/>
  <c r="B235" i="2" l="1"/>
  <c r="B236" i="2" s="1"/>
  <c r="B237" i="2" s="1"/>
  <c r="D137" i="13"/>
  <c r="G136" i="13"/>
  <c r="E237" i="2" l="1"/>
  <c r="B239" i="2"/>
  <c r="B248" i="2" s="1"/>
  <c r="B249" i="2" s="1"/>
  <c r="E68" i="2"/>
  <c r="E239" i="2"/>
  <c r="E137" i="13"/>
  <c r="F137" i="13" s="1"/>
  <c r="D138" i="13" s="1"/>
  <c r="B250" i="2" l="1"/>
  <c r="B251" i="2" s="1"/>
  <c r="B253" i="2" s="1"/>
  <c r="B254" i="2" s="1"/>
  <c r="B255" i="2" s="1"/>
  <c r="B257" i="2" s="1"/>
  <c r="B260" i="2" s="1"/>
  <c r="B261" i="2" s="1"/>
  <c r="E138" i="13"/>
  <c r="F138" i="13" s="1"/>
  <c r="D139" i="13" s="1"/>
  <c r="G137" i="13"/>
  <c r="E255" i="2" l="1"/>
  <c r="G138" i="13"/>
  <c r="B262" i="2"/>
  <c r="B263" i="2" s="1"/>
  <c r="B264" i="2" s="1"/>
  <c r="E139" i="13"/>
  <c r="F139" i="13" s="1"/>
  <c r="D140" i="13" s="1"/>
  <c r="B265" i="2" l="1"/>
  <c r="G139" i="13"/>
  <c r="E140" i="13"/>
  <c r="F140" i="13" s="1"/>
  <c r="D141" i="13" s="1"/>
  <c r="D272" i="2" l="1"/>
  <c r="B266" i="2"/>
  <c r="B267" i="2" s="1"/>
  <c r="B268" i="2" s="1"/>
  <c r="G140" i="13"/>
  <c r="E141" i="13"/>
  <c r="F141" i="13" s="1"/>
  <c r="D142" i="13" s="1"/>
  <c r="B270" i="2" l="1"/>
  <c r="B271" i="2" s="1"/>
  <c r="D273" i="2"/>
  <c r="E268" i="2"/>
  <c r="E142" i="13"/>
  <c r="F142" i="13" s="1"/>
  <c r="D143" i="13" s="1"/>
  <c r="G141" i="13"/>
  <c r="D375" i="2" l="1"/>
  <c r="B272" i="2"/>
  <c r="B273" i="2" s="1"/>
  <c r="D274" i="2" s="1"/>
  <c r="E143" i="13"/>
  <c r="F143" i="13" s="1"/>
  <c r="D144" i="13" s="1"/>
  <c r="G142" i="13"/>
  <c r="C19" i="13" l="1"/>
  <c r="D366" i="2"/>
  <c r="B274" i="2"/>
  <c r="C16" i="13"/>
  <c r="C16" i="20"/>
  <c r="C19" i="20"/>
  <c r="E144" i="13"/>
  <c r="F144" i="13" s="1"/>
  <c r="G143" i="13"/>
  <c r="B276" i="2" l="1"/>
  <c r="B77" i="41"/>
  <c r="E213" i="2"/>
  <c r="D199" i="2"/>
  <c r="D145" i="13"/>
  <c r="G144" i="13"/>
  <c r="E145" i="13" l="1"/>
  <c r="F145" i="13" s="1"/>
  <c r="D146" i="13" l="1"/>
  <c r="G145" i="13"/>
  <c r="E146" i="13" l="1"/>
  <c r="F146" i="13" s="1"/>
  <c r="D147" i="13" l="1"/>
  <c r="G146" i="13"/>
  <c r="E147" i="13" l="1"/>
  <c r="F147" i="13" s="1"/>
  <c r="D148" i="13" s="1"/>
  <c r="E148" i="13" l="1"/>
  <c r="F148" i="13" s="1"/>
  <c r="D149" i="13" s="1"/>
  <c r="G147" i="13"/>
  <c r="E149" i="13" l="1"/>
  <c r="F149" i="13" s="1"/>
  <c r="G148" i="13"/>
  <c r="D150" i="13" l="1"/>
  <c r="G149" i="13"/>
  <c r="E150" i="13" l="1"/>
  <c r="F150" i="13" s="1"/>
  <c r="D151" i="13" s="1"/>
  <c r="G150" i="13" l="1"/>
  <c r="E151" i="13"/>
  <c r="F151" i="13" s="1"/>
  <c r="D152" i="13" s="1"/>
  <c r="E152" i="13" l="1"/>
  <c r="F152" i="13" s="1"/>
  <c r="D153" i="13" s="1"/>
  <c r="G151" i="13"/>
  <c r="E153" i="13" l="1"/>
  <c r="F153" i="13" s="1"/>
  <c r="D154" i="13" s="1"/>
  <c r="G152" i="13"/>
  <c r="G153" i="13" l="1"/>
  <c r="E154" i="13"/>
  <c r="F154" i="13" s="1"/>
  <c r="D155" i="13" s="1"/>
  <c r="E155" i="13" l="1"/>
  <c r="F155" i="13" s="1"/>
  <c r="D156" i="13" s="1"/>
  <c r="G154" i="13"/>
  <c r="G155" i="13" l="1"/>
  <c r="E156" i="13"/>
  <c r="F156" i="13" s="1"/>
  <c r="D157" i="13" l="1"/>
  <c r="G156" i="13"/>
  <c r="E157" i="13" l="1"/>
  <c r="F157" i="13" s="1"/>
  <c r="D158" i="13" s="1"/>
  <c r="E158" i="13" l="1"/>
  <c r="F158" i="13" s="1"/>
  <c r="G157" i="13"/>
  <c r="D159" i="13" l="1"/>
  <c r="G158" i="13"/>
  <c r="E159" i="13" l="1"/>
  <c r="F159" i="13" s="1"/>
  <c r="D160" i="13" s="1"/>
  <c r="G159" i="13" l="1"/>
  <c r="E160" i="13"/>
  <c r="F160" i="13" s="1"/>
  <c r="D161" i="13" s="1"/>
  <c r="G160" i="13" l="1"/>
  <c r="E161" i="13"/>
  <c r="E162" i="13" s="1"/>
  <c r="F161" i="13" l="1"/>
  <c r="G161" i="13" s="1"/>
  <c r="J13" i="8" l="1"/>
  <c r="M52" i="11" l="1"/>
  <c r="J17" i="8"/>
  <c r="J15" i="8"/>
  <c r="K27" i="8" l="1"/>
  <c r="K31" i="8" s="1"/>
  <c r="G15" i="2" s="1"/>
  <c r="L15" i="2" s="1"/>
  <c r="J19" i="8"/>
  <c r="J21" i="8"/>
  <c r="I27" i="8"/>
  <c r="I31" i="8" s="1"/>
  <c r="J27" i="8" l="1"/>
  <c r="J31" i="8" s="1"/>
  <c r="E27" i="30"/>
  <c r="E20" i="11" l="1"/>
  <c r="G20" i="11" s="1"/>
  <c r="E83" i="30" l="1"/>
  <c r="E34" i="11" s="1"/>
  <c r="K34" i="11" s="1"/>
  <c r="E100" i="30" l="1"/>
  <c r="E36" i="11" s="1"/>
  <c r="K36" i="11" s="1"/>
  <c r="E103" i="30"/>
  <c r="E37" i="11" s="1"/>
  <c r="M37" i="11" s="1"/>
  <c r="E93" i="30"/>
  <c r="E35" i="11" s="1"/>
  <c r="K35" i="11" s="1"/>
  <c r="E110" i="30"/>
  <c r="E39" i="11" s="1"/>
  <c r="M39" i="11" s="1"/>
  <c r="E107" i="30"/>
  <c r="E38" i="11" s="1"/>
  <c r="M38" i="11" s="1"/>
  <c r="E15" i="30"/>
  <c r="E17" i="11" s="1"/>
  <c r="E63" i="30"/>
  <c r="E25" i="11" s="1"/>
  <c r="I25" i="11" s="1"/>
  <c r="E65" i="30"/>
  <c r="E26" i="11" s="1"/>
  <c r="I26" i="11" s="1"/>
  <c r="E61" i="30"/>
  <c r="E24" i="11" s="1"/>
  <c r="I24" i="11" s="1"/>
  <c r="E75" i="30"/>
  <c r="E32" i="11" s="1"/>
  <c r="M32" i="11" s="1"/>
  <c r="E71" i="30"/>
  <c r="E29" i="11" s="1"/>
  <c r="M29" i="11" s="1"/>
  <c r="E79" i="30"/>
  <c r="E33" i="11" s="1"/>
  <c r="K33" i="11" s="1"/>
  <c r="K41" i="11" l="1"/>
  <c r="G193" i="2" s="1"/>
  <c r="M17" i="11"/>
  <c r="M41" i="11" s="1"/>
  <c r="G192" i="2" s="1"/>
  <c r="L192" i="2" s="1"/>
  <c r="E33" i="30"/>
  <c r="I34" i="30"/>
  <c r="I33" i="30" s="1"/>
  <c r="I41" i="11"/>
  <c r="G189" i="2" s="1"/>
  <c r="I45" i="30" l="1"/>
  <c r="I44" i="30" s="1"/>
  <c r="E44" i="30"/>
  <c r="E50" i="30" l="1"/>
  <c r="E21" i="11" s="1"/>
  <c r="I51" i="30"/>
  <c r="I50" i="30" s="1"/>
  <c r="F113" i="30"/>
  <c r="G21" i="11" l="1"/>
  <c r="G41" i="11" s="1"/>
  <c r="G191" i="2" s="1"/>
  <c r="G194" i="2" s="1"/>
  <c r="E41" i="11"/>
  <c r="E25" i="30"/>
  <c r="E113" i="30" s="1"/>
  <c r="H23" i="35" l="1"/>
  <c r="G71" i="2" s="1"/>
  <c r="H42" i="35"/>
  <c r="G85" i="2" s="1"/>
  <c r="L85" i="2" s="1"/>
  <c r="L71" i="2" l="1"/>
  <c r="H10" i="50" l="1"/>
  <c r="I54" i="50" l="1"/>
  <c r="D21" i="50"/>
  <c r="H10" i="47"/>
  <c r="D21" i="47" l="1"/>
  <c r="I54" i="47"/>
  <c r="D22" i="50"/>
  <c r="D23" i="50" l="1"/>
  <c r="D22" i="47"/>
  <c r="D24" i="50" l="1"/>
  <c r="D23" i="47"/>
  <c r="D24" i="47" l="1"/>
  <c r="D25" i="50"/>
  <c r="D26" i="50" l="1"/>
  <c r="D25" i="47"/>
  <c r="D27" i="50" l="1"/>
  <c r="D26" i="47"/>
  <c r="D27" i="47" l="1"/>
  <c r="D28" i="50"/>
  <c r="D29" i="50" l="1"/>
  <c r="D28" i="47"/>
  <c r="D29" i="47" l="1"/>
  <c r="D30" i="50"/>
  <c r="D31" i="50" l="1"/>
  <c r="D30" i="47"/>
  <c r="D31" i="47" l="1"/>
  <c r="D32" i="50"/>
  <c r="D32" i="47" l="1"/>
  <c r="J69" i="6" l="1"/>
  <c r="K69" i="6" s="1"/>
  <c r="E69" i="6" s="1"/>
  <c r="J66" i="6"/>
  <c r="J49" i="6"/>
  <c r="K49" i="6" s="1"/>
  <c r="E49" i="6" s="1"/>
  <c r="J46" i="6"/>
  <c r="K46" i="6" l="1"/>
  <c r="E46" i="6" s="1"/>
  <c r="J53" i="6"/>
  <c r="J31" i="6" s="1"/>
  <c r="K66" i="6"/>
  <c r="E66" i="6" s="1"/>
  <c r="J74" i="6"/>
  <c r="J32" i="6" s="1"/>
  <c r="J33" i="6" l="1"/>
  <c r="G123" i="2" s="1"/>
  <c r="E67" i="6" l="1"/>
  <c r="E70" i="6"/>
  <c r="E50" i="6"/>
  <c r="E47" i="6"/>
  <c r="L46" i="2" l="1"/>
  <c r="L45" i="2"/>
  <c r="D69" i="9" l="1"/>
  <c r="G164" i="2" s="1"/>
  <c r="F69" i="9" l="1"/>
  <c r="G170" i="2" s="1"/>
  <c r="L170" i="2" s="1"/>
  <c r="E69" i="9" l="1"/>
  <c r="G23" i="35" l="1"/>
  <c r="G70" i="2" s="1"/>
  <c r="L70" i="2" s="1"/>
  <c r="J23" i="35"/>
  <c r="G73" i="2" s="1"/>
  <c r="J42" i="35"/>
  <c r="G87" i="2" s="1"/>
  <c r="I42" i="35"/>
  <c r="G86" i="2" s="1"/>
  <c r="G42" i="35"/>
  <c r="G84" i="2" s="1"/>
  <c r="L84" i="2" s="1"/>
  <c r="D62" i="35"/>
  <c r="I23" i="35"/>
  <c r="G72" i="2" s="1"/>
  <c r="C62" i="35"/>
  <c r="L236" i="2" s="1"/>
  <c r="D23" i="35"/>
  <c r="G67" i="2" s="1"/>
  <c r="K23" i="35"/>
  <c r="G74" i="2" s="1"/>
  <c r="K42" i="35"/>
  <c r="G88" i="2" s="1"/>
  <c r="D42" i="35"/>
  <c r="G81" i="2" s="1"/>
  <c r="L81" i="2" s="1"/>
  <c r="L67" i="2" l="1"/>
  <c r="G96" i="2"/>
  <c r="G98" i="2"/>
  <c r="L96" i="2"/>
  <c r="G97" i="2"/>
  <c r="C23" i="35"/>
  <c r="G66" i="2" s="1"/>
  <c r="E42" i="35"/>
  <c r="E23" i="35"/>
  <c r="G68" i="2" s="1"/>
  <c r="C42" i="35"/>
  <c r="G80" i="2" s="1"/>
  <c r="L66" i="2" l="1"/>
  <c r="G77" i="2"/>
  <c r="K46" i="11"/>
  <c r="K49" i="11" s="1"/>
  <c r="K51" i="11" s="1"/>
  <c r="K53" i="11" s="1"/>
  <c r="K55" i="11" s="1"/>
  <c r="K56" i="11" s="1"/>
  <c r="I46" i="11"/>
  <c r="I49" i="11" s="1"/>
  <c r="I51" i="11" s="1"/>
  <c r="I53" i="11" s="1"/>
  <c r="L80" i="2"/>
  <c r="L234" i="2"/>
  <c r="D64" i="35"/>
  <c r="L82" i="2" s="1"/>
  <c r="G82" i="2"/>
  <c r="G95" i="2" s="1"/>
  <c r="G94" i="2"/>
  <c r="G100" i="2" l="1"/>
  <c r="G91" i="2"/>
  <c r="L94" i="2"/>
  <c r="G46" i="11"/>
  <c r="G49" i="11" s="1"/>
  <c r="G51" i="11" s="1"/>
  <c r="G53" i="11" s="1"/>
  <c r="J82" i="2"/>
  <c r="J181" i="2" s="1"/>
  <c r="L181" i="2" s="1"/>
  <c r="L237" i="2"/>
  <c r="L68" i="2" s="1"/>
  <c r="E46" i="11"/>
  <c r="J83" i="2" l="1"/>
  <c r="L83" i="2" s="1"/>
  <c r="L239" i="2"/>
  <c r="E49" i="11"/>
  <c r="M46" i="11"/>
  <c r="G59" i="20"/>
  <c r="F59" i="13"/>
  <c r="H76" i="13"/>
  <c r="G76" i="20"/>
  <c r="G75" i="20"/>
  <c r="H75" i="13"/>
  <c r="J78" i="2"/>
  <c r="J155" i="2" l="1"/>
  <c r="J168" i="2"/>
  <c r="J250" i="2"/>
  <c r="L250" i="2" s="1"/>
  <c r="J169" i="2"/>
  <c r="J69" i="2"/>
  <c r="L69" i="2" s="1"/>
  <c r="J119" i="2"/>
  <c r="L119" i="2" s="1"/>
  <c r="H77" i="13"/>
  <c r="H78" i="13" s="1"/>
  <c r="H79" i="13" s="1"/>
  <c r="D98" i="13" s="1"/>
  <c r="G77" i="20"/>
  <c r="G78" i="20" s="1"/>
  <c r="G79" i="20" s="1"/>
  <c r="D96" i="20" s="1"/>
  <c r="I97" i="20" s="1"/>
  <c r="E100" i="20" s="1"/>
  <c r="F100" i="20" s="1"/>
  <c r="D101" i="20" s="1"/>
  <c r="E101" i="20" s="1"/>
  <c r="F101" i="20" s="1"/>
  <c r="D102" i="20" s="1"/>
  <c r="E102" i="20" s="1"/>
  <c r="F102" i="20" s="1"/>
  <c r="D103" i="20" s="1"/>
  <c r="E103" i="20" s="1"/>
  <c r="F103" i="20" s="1"/>
  <c r="D104" i="20" s="1"/>
  <c r="E104" i="20" s="1"/>
  <c r="F104" i="20" s="1"/>
  <c r="D105" i="20" s="1"/>
  <c r="E105" i="20" s="1"/>
  <c r="F105" i="20" s="1"/>
  <c r="D106" i="20" s="1"/>
  <c r="E106" i="20" s="1"/>
  <c r="F106" i="20" s="1"/>
  <c r="D107" i="20" s="1"/>
  <c r="E107" i="20" s="1"/>
  <c r="F107" i="20" s="1"/>
  <c r="D108" i="20" s="1"/>
  <c r="E108" i="20" s="1"/>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E125" i="20" s="1"/>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6" i="20" s="1"/>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E51" i="11"/>
  <c r="M49" i="11"/>
  <c r="L95" i="2" l="1"/>
  <c r="G64" i="20" s="1"/>
  <c r="L255" i="2"/>
  <c r="L257" i="2" s="1"/>
  <c r="J74" i="2" s="1"/>
  <c r="L74" i="2" s="1"/>
  <c r="D186" i="20"/>
  <c r="I187" i="20" s="1"/>
  <c r="E190" i="20" s="1"/>
  <c r="F190" i="20" s="1"/>
  <c r="D191" i="20" s="1"/>
  <c r="E191" i="20" s="1"/>
  <c r="F191" i="20" s="1"/>
  <c r="D192" i="20" s="1"/>
  <c r="E53" i="11"/>
  <c r="M51" i="11"/>
  <c r="J183" i="2" l="1"/>
  <c r="L183" i="2" s="1"/>
  <c r="J72" i="2"/>
  <c r="L72" i="2" s="1"/>
  <c r="J165" i="2"/>
  <c r="J189" i="2"/>
  <c r="L189" i="2" s="1"/>
  <c r="J86" i="2"/>
  <c r="L86" i="2" s="1"/>
  <c r="J121" i="2"/>
  <c r="L121" i="2" s="1"/>
  <c r="F64" i="13"/>
  <c r="J73" i="2"/>
  <c r="L73" i="2" s="1"/>
  <c r="J171" i="2"/>
  <c r="J88" i="2"/>
  <c r="L88" i="2" s="1"/>
  <c r="L98" i="2" s="1"/>
  <c r="J123" i="2"/>
  <c r="L123" i="2" s="1"/>
  <c r="J115" i="2"/>
  <c r="L115" i="2" s="1"/>
  <c r="J182" i="2"/>
  <c r="L182" i="2" s="1"/>
  <c r="J87" i="2"/>
  <c r="L87" i="2" s="1"/>
  <c r="E192" i="20"/>
  <c r="F192" i="20" s="1"/>
  <c r="D193" i="20" s="1"/>
  <c r="E54" i="11"/>
  <c r="E55" i="11" s="1"/>
  <c r="I54" i="11"/>
  <c r="I55" i="11" s="1"/>
  <c r="I56" i="11" s="1"/>
  <c r="G54" i="11"/>
  <c r="G55" i="11" s="1"/>
  <c r="G56" i="11" s="1"/>
  <c r="L185" i="2" l="1"/>
  <c r="L77" i="2"/>
  <c r="J77" i="2" s="1"/>
  <c r="J167" i="2" s="1"/>
  <c r="L167" i="2" s="1"/>
  <c r="L91" i="2"/>
  <c r="L97" i="2"/>
  <c r="M55" i="11"/>
  <c r="E193" i="20"/>
  <c r="F193" i="20" s="1"/>
  <c r="D194" i="20" s="1"/>
  <c r="E56" i="11"/>
  <c r="J124" i="2" l="1"/>
  <c r="J193" i="2"/>
  <c r="L193" i="2" s="1"/>
  <c r="J207" i="2"/>
  <c r="L207" i="2" s="1"/>
  <c r="E37" i="13" s="1"/>
  <c r="J122" i="2"/>
  <c r="L122" i="2" s="1"/>
  <c r="L100" i="2"/>
  <c r="J100" i="2" s="1"/>
  <c r="E194" i="20"/>
  <c r="F194" i="20" s="1"/>
  <c r="D195" i="20" s="1"/>
  <c r="M56" i="11"/>
  <c r="F37" i="20" l="1"/>
  <c r="G57" i="11"/>
  <c r="H28" i="30" s="1"/>
  <c r="I28" i="30" s="1"/>
  <c r="I27" i="30" s="1"/>
  <c r="I25" i="30" s="1"/>
  <c r="L191" i="2" s="1"/>
  <c r="L194" i="2" s="1"/>
  <c r="I57" i="11"/>
  <c r="E195" i="20"/>
  <c r="F195" i="20" s="1"/>
  <c r="D196" i="20" s="1"/>
  <c r="E57" i="11"/>
  <c r="E196" i="20" l="1"/>
  <c r="F196" i="20" s="1"/>
  <c r="D197" i="20" s="1"/>
  <c r="E197" i="20" l="1"/>
  <c r="F197" i="20" s="1"/>
  <c r="D198" i="20" s="1"/>
  <c r="E198" i="20" l="1"/>
  <c r="F198" i="20" s="1"/>
  <c r="D199" i="20" s="1"/>
  <c r="E199" i="20" l="1"/>
  <c r="F199" i="20" s="1"/>
  <c r="D200" i="20" l="1"/>
  <c r="E200" i="20" l="1"/>
  <c r="F200" i="20" s="1"/>
  <c r="D201" i="20" l="1"/>
  <c r="E201" i="20" l="1"/>
  <c r="F201" i="20" s="1"/>
  <c r="D202" i="20" l="1"/>
  <c r="E202" i="20" s="1"/>
  <c r="F202" i="20" s="1"/>
  <c r="D203" i="20" l="1"/>
  <c r="E203" i="20" s="1"/>
  <c r="F203" i="20" s="1"/>
  <c r="D204" i="20" l="1"/>
  <c r="E204" i="20" s="1"/>
  <c r="F204" i="20" s="1"/>
  <c r="D205" i="20" s="1"/>
  <c r="E205" i="20" l="1"/>
  <c r="F205" i="20" s="1"/>
  <c r="D206" i="20" l="1"/>
  <c r="E206" i="20" s="1"/>
  <c r="F206" i="20" s="1"/>
  <c r="D207" i="20" l="1"/>
  <c r="E207" i="20" s="1"/>
  <c r="F207" i="20" s="1"/>
  <c r="D208" i="20" l="1"/>
  <c r="E208" i="20" s="1"/>
  <c r="F208" i="20" s="1"/>
  <c r="D209" i="20" l="1"/>
  <c r="E209" i="20" s="1"/>
  <c r="F209" i="20" s="1"/>
  <c r="D210" i="20" l="1"/>
  <c r="E210" i="20" s="1"/>
  <c r="F210" i="20" s="1"/>
  <c r="D211" i="20" s="1"/>
  <c r="E211" i="20" l="1"/>
  <c r="F211" i="20" s="1"/>
  <c r="D212" i="20" s="1"/>
  <c r="E212" i="20" l="1"/>
  <c r="F212" i="20" s="1"/>
  <c r="D213" i="20" l="1"/>
  <c r="E213" i="20" s="1"/>
  <c r="F213" i="20" s="1"/>
  <c r="D214" i="20" s="1"/>
  <c r="E214" i="20" l="1"/>
  <c r="F214" i="20" s="1"/>
  <c r="D215" i="20" l="1"/>
  <c r="E215" i="20" s="1"/>
  <c r="F215" i="20" s="1"/>
  <c r="D216" i="20" l="1"/>
  <c r="E216" i="20" s="1"/>
  <c r="F216" i="20" s="1"/>
  <c r="D217" i="20" l="1"/>
  <c r="E217" i="20" s="1"/>
  <c r="F217" i="20" s="1"/>
  <c r="D218" i="20" l="1"/>
  <c r="E218" i="20" s="1"/>
  <c r="F218" i="20" s="1"/>
  <c r="D219" i="20" l="1"/>
  <c r="E219" i="20" l="1"/>
  <c r="F219" i="20" s="1"/>
  <c r="D220" i="20" l="1"/>
  <c r="E220" i="20" l="1"/>
  <c r="F220" i="20" s="1"/>
  <c r="D221" i="20" l="1"/>
  <c r="E221" i="20" l="1"/>
  <c r="F221" i="20" s="1"/>
  <c r="D222" i="20" s="1"/>
  <c r="E222" i="20" l="1"/>
  <c r="F222" i="20" s="1"/>
  <c r="D223" i="20" l="1"/>
  <c r="E223" i="20" s="1"/>
  <c r="F223" i="20" s="1"/>
  <c r="D224" i="20" l="1"/>
  <c r="E224" i="20" s="1"/>
  <c r="F224" i="20" s="1"/>
  <c r="D225" i="20" l="1"/>
  <c r="E225" i="20" s="1"/>
  <c r="F225" i="20" s="1"/>
  <c r="D226" i="20" s="1"/>
  <c r="E226" i="20" l="1"/>
  <c r="F226" i="20" s="1"/>
  <c r="D227" i="20" l="1"/>
  <c r="E227" i="20" s="1"/>
  <c r="F227" i="20" s="1"/>
  <c r="D228" i="20" l="1"/>
  <c r="E228" i="20" s="1"/>
  <c r="F228" i="20" s="1"/>
  <c r="D229" i="20" s="1"/>
  <c r="E229" i="20" l="1"/>
  <c r="F229" i="20" s="1"/>
  <c r="D230" i="20" l="1"/>
  <c r="E230" i="20" s="1"/>
  <c r="F230" i="20" s="1"/>
  <c r="D231" i="20" s="1"/>
  <c r="E231" i="20" l="1"/>
  <c r="F231" i="20" s="1"/>
  <c r="D232" i="20" l="1"/>
  <c r="E232" i="20" s="1"/>
  <c r="F232" i="20" s="1"/>
  <c r="D233" i="20" l="1"/>
  <c r="E233" i="20" s="1"/>
  <c r="F233" i="20" s="1"/>
  <c r="D234" i="20" l="1"/>
  <c r="E234" i="20" s="1"/>
  <c r="F234" i="20" s="1"/>
  <c r="D235" i="20" l="1"/>
  <c r="E235" i="20" s="1"/>
  <c r="F235" i="20" s="1"/>
  <c r="D236" i="20" s="1"/>
  <c r="E236" i="20" l="1"/>
  <c r="F236" i="20" s="1"/>
  <c r="D237" i="20" l="1"/>
  <c r="E237" i="20" s="1"/>
  <c r="F237" i="20" s="1"/>
  <c r="D238" i="20" s="1"/>
  <c r="E238" i="20" l="1"/>
  <c r="F238" i="20" s="1"/>
  <c r="D239" i="20" l="1"/>
  <c r="E239" i="20" l="1"/>
  <c r="F239" i="20" s="1"/>
  <c r="D240" i="20" l="1"/>
  <c r="E240" i="20" l="1"/>
  <c r="F240" i="20" s="1"/>
  <c r="D241" i="20" s="1"/>
  <c r="E241" i="20" l="1"/>
  <c r="F241" i="20" s="1"/>
  <c r="D242" i="20" s="1"/>
  <c r="E242" i="20" l="1"/>
  <c r="F242" i="20" s="1"/>
  <c r="D243" i="20" l="1"/>
  <c r="E243" i="20" l="1"/>
  <c r="F243" i="20" s="1"/>
  <c r="D244" i="20" s="1"/>
  <c r="E244" i="20" l="1"/>
  <c r="F244" i="20" s="1"/>
  <c r="D245" i="20" l="1"/>
  <c r="E245" i="20" s="1"/>
  <c r="F245" i="20" s="1"/>
  <c r="D246" i="20" l="1"/>
  <c r="E246" i="20" s="1"/>
  <c r="F246" i="20" s="1"/>
  <c r="D247" i="20" s="1"/>
  <c r="E247" i="20" l="1"/>
  <c r="F247" i="20" s="1"/>
  <c r="D248" i="20" s="1"/>
  <c r="E248" i="20" s="1"/>
  <c r="F248" i="20" s="1"/>
  <c r="D249" i="20" s="1"/>
  <c r="E249" i="20" l="1"/>
  <c r="F249" i="20" s="1"/>
  <c r="H10" i="49" l="1"/>
  <c r="D21" i="49" l="1"/>
  <c r="D22" i="49" s="1"/>
  <c r="I54" i="49"/>
  <c r="D23" i="49" l="1"/>
  <c r="D24" i="49" l="1"/>
  <c r="D25" i="49" l="1"/>
  <c r="D26" i="49" l="1"/>
  <c r="D27" i="49" l="1"/>
  <c r="D28" i="49" l="1"/>
  <c r="D29" i="49" l="1"/>
  <c r="D30" i="49" l="1"/>
  <c r="D31" i="49" l="1"/>
  <c r="D32" i="49" l="1"/>
  <c r="G23" i="48" l="1"/>
  <c r="G28" i="48" l="1"/>
  <c r="F39" i="47" l="1"/>
  <c r="F21" i="47"/>
  <c r="F39" i="50"/>
  <c r="F21" i="50"/>
  <c r="F39" i="49"/>
  <c r="F21" i="49"/>
  <c r="F40" i="49" l="1"/>
  <c r="F22" i="50"/>
  <c r="H21" i="50"/>
  <c r="F22" i="49"/>
  <c r="H21" i="49"/>
  <c r="F22" i="47"/>
  <c r="H21" i="47"/>
  <c r="F40" i="50"/>
  <c r="F40" i="47"/>
  <c r="F23" i="49" l="1"/>
  <c r="H22" i="49"/>
  <c r="K22" i="49" s="1"/>
  <c r="K21" i="49"/>
  <c r="F23" i="50"/>
  <c r="H22" i="50"/>
  <c r="K22" i="50" s="1"/>
  <c r="K21" i="47"/>
  <c r="F41" i="47"/>
  <c r="F41" i="50"/>
  <c r="F23" i="47"/>
  <c r="H22" i="47"/>
  <c r="K22" i="47" s="1"/>
  <c r="K21" i="50"/>
  <c r="F41" i="49"/>
  <c r="F24" i="50" l="1"/>
  <c r="H23" i="50"/>
  <c r="K23" i="50" s="1"/>
  <c r="F42" i="50"/>
  <c r="F42" i="49"/>
  <c r="F24" i="47"/>
  <c r="H23" i="47"/>
  <c r="K23" i="47" s="1"/>
  <c r="F42" i="47"/>
  <c r="F24" i="49"/>
  <c r="H23" i="49"/>
  <c r="K23" i="49" s="1"/>
  <c r="F25" i="49" l="1"/>
  <c r="H24" i="49"/>
  <c r="K24" i="49" s="1"/>
  <c r="F25" i="47"/>
  <c r="H24" i="47"/>
  <c r="K24" i="47" s="1"/>
  <c r="F43" i="49"/>
  <c r="F43" i="50"/>
  <c r="F25" i="50"/>
  <c r="H24" i="50"/>
  <c r="F43" i="47"/>
  <c r="F44" i="47" l="1"/>
  <c r="F26" i="50"/>
  <c r="H25" i="50"/>
  <c r="K25" i="50" s="1"/>
  <c r="F44" i="50"/>
  <c r="F26" i="47"/>
  <c r="H25" i="47"/>
  <c r="K24" i="50"/>
  <c r="F44" i="49"/>
  <c r="F26" i="49"/>
  <c r="H25" i="49"/>
  <c r="K25" i="49" l="1"/>
  <c r="F45" i="49"/>
  <c r="F27" i="49"/>
  <c r="H26" i="49"/>
  <c r="K26" i="49" s="1"/>
  <c r="K25" i="47"/>
  <c r="F45" i="50"/>
  <c r="F27" i="50"/>
  <c r="H26" i="50"/>
  <c r="F27" i="47"/>
  <c r="H26" i="47"/>
  <c r="K26" i="47" s="1"/>
  <c r="F45" i="47"/>
  <c r="K26" i="50" l="1"/>
  <c r="F28" i="50"/>
  <c r="H27" i="50"/>
  <c r="K27" i="50" s="1"/>
  <c r="F46" i="50"/>
  <c r="F28" i="49"/>
  <c r="H27" i="49"/>
  <c r="F28" i="47"/>
  <c r="H27" i="47"/>
  <c r="F46" i="49"/>
  <c r="F46" i="47"/>
  <c r="F47" i="47" l="1"/>
  <c r="F47" i="49"/>
  <c r="K27" i="47"/>
  <c r="F29" i="47"/>
  <c r="H28" i="47"/>
  <c r="K28" i="47" s="1"/>
  <c r="K27" i="49"/>
  <c r="F29" i="50"/>
  <c r="H28" i="50"/>
  <c r="K28" i="50" s="1"/>
  <c r="F29" i="49"/>
  <c r="H28" i="49"/>
  <c r="K28" i="49" s="1"/>
  <c r="F47" i="50"/>
  <c r="F30" i="49" l="1"/>
  <c r="H29" i="49"/>
  <c r="K29" i="49" s="1"/>
  <c r="F48" i="49"/>
  <c r="F48" i="50"/>
  <c r="F30" i="50"/>
  <c r="H29" i="50"/>
  <c r="K29" i="50" s="1"/>
  <c r="F30" i="47"/>
  <c r="H29" i="47"/>
  <c r="K29" i="47" s="1"/>
  <c r="F48" i="47"/>
  <c r="F31" i="50" l="1"/>
  <c r="H30" i="50"/>
  <c r="K30" i="50" s="1"/>
  <c r="F49" i="50"/>
  <c r="F49" i="47"/>
  <c r="F31" i="47"/>
  <c r="H30" i="47"/>
  <c r="K30" i="47" s="1"/>
  <c r="F49" i="49"/>
  <c r="F31" i="49"/>
  <c r="H30" i="49"/>
  <c r="K30" i="49" s="1"/>
  <c r="F32" i="49" l="1"/>
  <c r="H31" i="49"/>
  <c r="K31" i="49" s="1"/>
  <c r="F50" i="49"/>
  <c r="F32" i="47"/>
  <c r="H31" i="47"/>
  <c r="K31" i="47" s="1"/>
  <c r="F50" i="47"/>
  <c r="F50" i="50"/>
  <c r="F32" i="50"/>
  <c r="H31" i="50"/>
  <c r="K31" i="50" s="1"/>
  <c r="F36" i="50" l="1"/>
  <c r="H32" i="50"/>
  <c r="F36" i="47"/>
  <c r="H32" i="47"/>
  <c r="F36" i="49"/>
  <c r="H32" i="49"/>
  <c r="K32" i="50" l="1"/>
  <c r="K33" i="50" s="1"/>
  <c r="D36" i="50" s="1"/>
  <c r="H36" i="50" s="1"/>
  <c r="K36" i="50" s="1"/>
  <c r="H33" i="50"/>
  <c r="K32" i="49"/>
  <c r="K33" i="49" s="1"/>
  <c r="D36" i="49" s="1"/>
  <c r="H36" i="49" s="1"/>
  <c r="K36" i="49" s="1"/>
  <c r="H33" i="49"/>
  <c r="K32" i="47"/>
  <c r="K33" i="47" s="1"/>
  <c r="D36" i="47" s="1"/>
  <c r="H36" i="47" s="1"/>
  <c r="K36" i="47" s="1"/>
  <c r="H33" i="47"/>
  <c r="D39" i="47" l="1"/>
  <c r="I39" i="47"/>
  <c r="I40" i="47" s="1"/>
  <c r="I41" i="47" s="1"/>
  <c r="I42" i="47" s="1"/>
  <c r="I43" i="47" s="1"/>
  <c r="I44" i="47" s="1"/>
  <c r="I45" i="47" s="1"/>
  <c r="I46" i="47" s="1"/>
  <c r="I47" i="47" s="1"/>
  <c r="I48" i="47" s="1"/>
  <c r="I49" i="47" s="1"/>
  <c r="I50" i="47" s="1"/>
  <c r="I53" i="47" s="1"/>
  <c r="D39" i="49"/>
  <c r="I39" i="49"/>
  <c r="D39" i="50"/>
  <c r="I39" i="50"/>
  <c r="I40" i="50" s="1"/>
  <c r="I41" i="50" s="1"/>
  <c r="I42" i="50" s="1"/>
  <c r="I43" i="50" s="1"/>
  <c r="I44" i="50" s="1"/>
  <c r="I45" i="50" s="1"/>
  <c r="I46" i="50" s="1"/>
  <c r="I47" i="50" s="1"/>
  <c r="I48" i="50" s="1"/>
  <c r="I49" i="50" s="1"/>
  <c r="I50" i="50" s="1"/>
  <c r="I53" i="50" s="1"/>
  <c r="I55" i="50" l="1"/>
  <c r="I55" i="47"/>
  <c r="I40" i="49"/>
  <c r="I41" i="49" s="1"/>
  <c r="I42" i="49" s="1"/>
  <c r="I43" i="49" s="1"/>
  <c r="I44" i="49" s="1"/>
  <c r="I45" i="49" s="1"/>
  <c r="I46" i="49" s="1"/>
  <c r="I47" i="49" s="1"/>
  <c r="I48" i="49" s="1"/>
  <c r="I49" i="49" s="1"/>
  <c r="I50" i="49" s="1"/>
  <c r="K39" i="49"/>
  <c r="D40" i="49" s="1"/>
  <c r="H39" i="49"/>
  <c r="K39" i="50"/>
  <c r="D40" i="50" s="1"/>
  <c r="H39" i="50"/>
  <c r="K39" i="47"/>
  <c r="D40" i="47" s="1"/>
  <c r="H39" i="47"/>
  <c r="K40" i="49" l="1"/>
  <c r="D41" i="49" s="1"/>
  <c r="H40" i="49"/>
  <c r="K40" i="47"/>
  <c r="D41" i="47" s="1"/>
  <c r="H40" i="47"/>
  <c r="I53" i="49"/>
  <c r="K40" i="50"/>
  <c r="D41" i="50" s="1"/>
  <c r="H40" i="50"/>
  <c r="I55" i="49" l="1"/>
  <c r="K41" i="50"/>
  <c r="D42" i="50" s="1"/>
  <c r="H41" i="50"/>
  <c r="K41" i="47"/>
  <c r="D42" i="47" s="1"/>
  <c r="H41" i="47"/>
  <c r="K41" i="49"/>
  <c r="D42" i="49" s="1"/>
  <c r="H41" i="49"/>
  <c r="K42" i="49" l="1"/>
  <c r="D43" i="49" s="1"/>
  <c r="H42" i="49"/>
  <c r="K42" i="47"/>
  <c r="D43" i="47" s="1"/>
  <c r="H42" i="47"/>
  <c r="K42" i="50"/>
  <c r="D43" i="50" s="1"/>
  <c r="H42" i="50"/>
  <c r="K43" i="50" l="1"/>
  <c r="D44" i="50" s="1"/>
  <c r="H43" i="50"/>
  <c r="K43" i="47"/>
  <c r="D44" i="47" s="1"/>
  <c r="H43" i="47"/>
  <c r="K43" i="49"/>
  <c r="D44" i="49" s="1"/>
  <c r="H43" i="49"/>
  <c r="K44" i="49" l="1"/>
  <c r="D45" i="49" s="1"/>
  <c r="H44" i="49"/>
  <c r="K44" i="47"/>
  <c r="D45" i="47" s="1"/>
  <c r="H44" i="47"/>
  <c r="K44" i="50"/>
  <c r="D45" i="50" s="1"/>
  <c r="H44" i="50"/>
  <c r="K45" i="50" l="1"/>
  <c r="D46" i="50" s="1"/>
  <c r="H45" i="50"/>
  <c r="K45" i="47"/>
  <c r="D46" i="47" s="1"/>
  <c r="H45" i="47"/>
  <c r="K45" i="49"/>
  <c r="D46" i="49" s="1"/>
  <c r="H45" i="49"/>
  <c r="K46" i="49" l="1"/>
  <c r="D47" i="49" s="1"/>
  <c r="H46" i="49"/>
  <c r="K46" i="47"/>
  <c r="D47" i="47" s="1"/>
  <c r="H46" i="47"/>
  <c r="K46" i="50"/>
  <c r="D47" i="50" s="1"/>
  <c r="H46" i="50"/>
  <c r="K47" i="50" l="1"/>
  <c r="D48" i="50" s="1"/>
  <c r="H47" i="50"/>
  <c r="K47" i="47"/>
  <c r="D48" i="47" s="1"/>
  <c r="H47" i="47"/>
  <c r="K47" i="49"/>
  <c r="D48" i="49" s="1"/>
  <c r="H47" i="49"/>
  <c r="K48" i="49" l="1"/>
  <c r="D49" i="49" s="1"/>
  <c r="H48" i="49"/>
  <c r="K48" i="47"/>
  <c r="D49" i="47" s="1"/>
  <c r="H48" i="47"/>
  <c r="K48" i="50"/>
  <c r="D49" i="50" s="1"/>
  <c r="H48" i="50"/>
  <c r="K49" i="50" l="1"/>
  <c r="D50" i="50" s="1"/>
  <c r="H49" i="50"/>
  <c r="K49" i="47"/>
  <c r="D50" i="47" s="1"/>
  <c r="H49" i="47"/>
  <c r="K49" i="49"/>
  <c r="D50" i="49" s="1"/>
  <c r="H49" i="49"/>
  <c r="K50" i="49" l="1"/>
  <c r="H50" i="49"/>
  <c r="H51" i="49" s="1"/>
  <c r="K50" i="47"/>
  <c r="H50" i="47"/>
  <c r="H51" i="47" s="1"/>
  <c r="K50" i="50"/>
  <c r="H50" i="50"/>
  <c r="H51" i="50" s="1"/>
  <c r="E42" i="6" l="1"/>
  <c r="E62" i="6" l="1"/>
  <c r="E51" i="6"/>
  <c r="E71" i="6"/>
  <c r="E45" i="6"/>
  <c r="E65" i="6"/>
  <c r="E44" i="6"/>
  <c r="E64" i="6"/>
  <c r="I68" i="6"/>
  <c r="K68" i="6" s="1"/>
  <c r="E68" i="6" s="1"/>
  <c r="I48" i="6"/>
  <c r="K48" i="6" s="1"/>
  <c r="E48" i="6" s="1"/>
  <c r="I41" i="6" l="1"/>
  <c r="D53" i="6"/>
  <c r="D31" i="6" s="1"/>
  <c r="I61" i="6"/>
  <c r="D74" i="6"/>
  <c r="D32" i="6" s="1"/>
  <c r="D33" i="6" l="1"/>
  <c r="K61" i="6"/>
  <c r="I74" i="6"/>
  <c r="I32" i="6" s="1"/>
  <c r="K41" i="6"/>
  <c r="I53" i="6"/>
  <c r="I31" i="6" s="1"/>
  <c r="I33" i="6" l="1"/>
  <c r="G124" i="2" s="1"/>
  <c r="L124" i="2" s="1"/>
  <c r="K53" i="6"/>
  <c r="K31" i="6" s="1"/>
  <c r="E41" i="6"/>
  <c r="E53" i="6" s="1"/>
  <c r="E31" i="6" s="1"/>
  <c r="K74" i="6"/>
  <c r="K32" i="6" s="1"/>
  <c r="E61" i="6"/>
  <c r="E74" i="6" s="1"/>
  <c r="E32" i="6" s="1"/>
  <c r="K33" i="6" l="1"/>
  <c r="E33" i="6"/>
  <c r="G126" i="2" s="1"/>
  <c r="L126" i="2" s="1"/>
  <c r="L208" i="2" l="1"/>
  <c r="G208" i="2"/>
  <c r="E38" i="13" l="1"/>
  <c r="F38" i="20"/>
  <c r="I34" i="5" l="1"/>
  <c r="E51" i="5"/>
  <c r="I18" i="5"/>
  <c r="I42" i="5" l="1"/>
  <c r="I52" i="5"/>
  <c r="L108" i="2" s="1"/>
  <c r="I49" i="5"/>
  <c r="I51" i="5" s="1"/>
  <c r="G108" i="2" s="1"/>
  <c r="G51" i="5"/>
  <c r="I26" i="5"/>
  <c r="G44" i="5" l="1"/>
  <c r="I43" i="5" l="1"/>
  <c r="I41" i="5"/>
  <c r="G107" i="2" s="1"/>
  <c r="G28" i="5"/>
  <c r="I44" i="5" l="1"/>
  <c r="L107" i="2" s="1"/>
  <c r="E44" i="5"/>
  <c r="I33" i="5"/>
  <c r="G106" i="2" s="1"/>
  <c r="G36" i="5"/>
  <c r="E36" i="5"/>
  <c r="I35" i="5" l="1"/>
  <c r="I36" i="5" s="1"/>
  <c r="L106" i="2" s="1"/>
  <c r="I25" i="5"/>
  <c r="G105" i="2" s="1"/>
  <c r="G20" i="5"/>
  <c r="I19" i="5" l="1"/>
  <c r="I17" i="5"/>
  <c r="E20" i="5" l="1"/>
  <c r="G104" i="2"/>
  <c r="G109" i="2" s="1"/>
  <c r="I20" i="5"/>
  <c r="L104" i="2" s="1"/>
  <c r="I27" i="5" l="1"/>
  <c r="I28" i="5" s="1"/>
  <c r="L105" i="2" s="1"/>
  <c r="L109" i="2" s="1"/>
  <c r="E28" i="5"/>
  <c r="E28" i="48" l="1"/>
  <c r="E20" i="48" l="1"/>
  <c r="E22" i="48"/>
  <c r="H22" i="48" s="1"/>
  <c r="I22" i="48" s="1"/>
  <c r="E27" i="48"/>
  <c r="E23" i="48"/>
  <c r="H23" i="48" s="1"/>
  <c r="E24" i="48"/>
  <c r="H24" i="48" s="1"/>
  <c r="I24" i="48" s="1"/>
  <c r="E26" i="48"/>
  <c r="H26" i="48" s="1"/>
  <c r="I26" i="48" s="1"/>
  <c r="E25" i="48"/>
  <c r="H25" i="48" s="1"/>
  <c r="I25" i="48" s="1"/>
  <c r="I23" i="48" l="1"/>
  <c r="G171" i="2"/>
  <c r="H27" i="48"/>
  <c r="I27" i="48" s="1"/>
  <c r="L171" i="2" l="1"/>
  <c r="I28" i="48"/>
  <c r="H28" i="48"/>
  <c r="D33" i="9" l="1"/>
  <c r="G152" i="2" s="1"/>
  <c r="L44" i="2" s="1"/>
  <c r="G155" i="2" l="1"/>
  <c r="G118" i="2" s="1"/>
  <c r="G127" i="2" s="1"/>
  <c r="G131" i="2" s="1"/>
  <c r="G213" i="2" s="1"/>
  <c r="G206" i="2" s="1"/>
  <c r="G211" i="2" s="1"/>
  <c r="L48" i="2"/>
  <c r="L155" i="2" l="1"/>
  <c r="L118" i="2" s="1"/>
  <c r="L127" i="2" s="1"/>
  <c r="L131" i="2" s="1"/>
  <c r="F28" i="20" s="1"/>
  <c r="F30" i="20" s="1"/>
  <c r="L213" i="2" l="1"/>
  <c r="L206" i="2" s="1"/>
  <c r="L211" i="2" s="1"/>
  <c r="E28" i="13"/>
  <c r="E30" i="13" s="1"/>
  <c r="F56" i="13" s="1"/>
  <c r="F34" i="20"/>
  <c r="F36" i="20" s="1"/>
  <c r="F40" i="20" s="1"/>
  <c r="G57" i="20" s="1"/>
  <c r="G56" i="20"/>
  <c r="E34" i="13" l="1"/>
  <c r="E36" i="13" s="1"/>
  <c r="E40" i="13" s="1"/>
  <c r="F57" i="13" s="1"/>
  <c r="G49" i="20"/>
  <c r="F49" i="13"/>
  <c r="G50" i="20"/>
  <c r="F50" i="13"/>
  <c r="D41" i="9" l="1"/>
  <c r="G162" i="2" s="1"/>
  <c r="F41" i="9" l="1"/>
  <c r="G168" i="2" s="1"/>
  <c r="L168" i="2" s="1"/>
  <c r="D61" i="9"/>
  <c r="G163" i="2" s="1"/>
  <c r="G165" i="2" s="1"/>
  <c r="E41" i="9" l="1"/>
  <c r="L165" i="2"/>
  <c r="F61" i="9" l="1"/>
  <c r="G169" i="2" s="1"/>
  <c r="E61" i="9"/>
  <c r="L169" i="2" l="1"/>
  <c r="L172" i="2" s="1"/>
  <c r="L174" i="2" s="1"/>
  <c r="L176" i="2" s="1"/>
  <c r="L221" i="2" s="1"/>
  <c r="L13" i="2" s="1"/>
  <c r="G172" i="2"/>
  <c r="G174" i="2" s="1"/>
  <c r="G176" i="2" s="1"/>
  <c r="G221" i="2" s="1"/>
  <c r="L34" i="2" l="1"/>
  <c r="F47" i="13"/>
  <c r="F51" i="13" s="1"/>
  <c r="F55" i="13" s="1"/>
  <c r="F58" i="13" s="1"/>
  <c r="L20" i="2"/>
  <c r="G47" i="20"/>
  <c r="G51" i="20" s="1"/>
  <c r="G55" i="20" s="1"/>
  <c r="G58" i="20" s="1"/>
  <c r="L37" i="2"/>
  <c r="L30" i="2"/>
  <c r="L31" i="2" s="1"/>
  <c r="G65" i="20" l="1"/>
  <c r="G66" i="20" s="1"/>
  <c r="G60" i="20"/>
  <c r="G68" i="20" s="1"/>
  <c r="G69" i="20" s="1"/>
  <c r="F65" i="13"/>
  <c r="F66" i="13" s="1"/>
  <c r="F60" i="13"/>
  <c r="F68" i="13" s="1"/>
  <c r="F69" i="13" s="1"/>
  <c r="F70" i="13"/>
  <c r="J97" i="13" s="1"/>
  <c r="G70" i="20"/>
  <c r="I95" i="20" l="1"/>
  <c r="I185" i="20"/>
  <c r="I186" i="20" s="1"/>
  <c r="H140" i="13"/>
  <c r="H113" i="13"/>
  <c r="H131" i="13"/>
  <c r="H159" i="13"/>
  <c r="H128" i="13"/>
  <c r="H104" i="13"/>
  <c r="H102" i="13"/>
  <c r="H136" i="13"/>
  <c r="H158" i="13"/>
  <c r="H125" i="13"/>
  <c r="H116" i="13"/>
  <c r="H108" i="13"/>
  <c r="H145" i="13"/>
  <c r="H153" i="13"/>
  <c r="H111" i="13"/>
  <c r="H142" i="13"/>
  <c r="H130" i="13"/>
  <c r="H134" i="13"/>
  <c r="H121" i="13"/>
  <c r="H148" i="13"/>
  <c r="H139" i="13"/>
  <c r="H126" i="13"/>
  <c r="H155" i="13"/>
  <c r="H103" i="13"/>
  <c r="H122" i="13"/>
  <c r="H151" i="13"/>
  <c r="H156" i="13"/>
  <c r="H114" i="13"/>
  <c r="H124" i="13"/>
  <c r="H135" i="13"/>
  <c r="H152" i="13"/>
  <c r="H118" i="13"/>
  <c r="H146" i="13"/>
  <c r="H107" i="13"/>
  <c r="H133" i="13"/>
  <c r="H105" i="13"/>
  <c r="H106" i="13"/>
  <c r="H141" i="13"/>
  <c r="H147" i="13"/>
  <c r="H132" i="13"/>
  <c r="H129" i="13"/>
  <c r="H115" i="13"/>
  <c r="H144" i="13"/>
  <c r="H117" i="13"/>
  <c r="H137" i="13"/>
  <c r="H138" i="13"/>
  <c r="H127" i="13"/>
  <c r="H119" i="13"/>
  <c r="H150" i="13"/>
  <c r="H112" i="13"/>
  <c r="H120" i="13"/>
  <c r="H123" i="13"/>
  <c r="H161" i="13"/>
  <c r="H157" i="13"/>
  <c r="H160" i="13"/>
  <c r="H109" i="13"/>
  <c r="H143" i="13"/>
  <c r="H154" i="13"/>
  <c r="H110" i="13"/>
  <c r="H149" i="13"/>
  <c r="J98" i="13"/>
  <c r="F71" i="13"/>
  <c r="G71" i="20"/>
  <c r="I122" i="13" l="1"/>
  <c r="J122" i="13" s="1"/>
  <c r="I143" i="13"/>
  <c r="J143" i="13" s="1"/>
  <c r="I106" i="13"/>
  <c r="J106" i="13" s="1"/>
  <c r="I125" i="13"/>
  <c r="J125" i="13" s="1"/>
  <c r="I145" i="13"/>
  <c r="J145" i="13" s="1"/>
  <c r="I149" i="13"/>
  <c r="J149" i="13" s="1"/>
  <c r="I109" i="13"/>
  <c r="J109" i="13" s="1"/>
  <c r="I152" i="13"/>
  <c r="J152" i="13" s="1"/>
  <c r="I161" i="13"/>
  <c r="J161" i="13" s="1"/>
  <c r="I137" i="13"/>
  <c r="J137" i="13" s="1"/>
  <c r="I150" i="13"/>
  <c r="J150" i="13" s="1"/>
  <c r="I129" i="13"/>
  <c r="J129" i="13" s="1"/>
  <c r="I134" i="13"/>
  <c r="J134" i="13" s="1"/>
  <c r="I114" i="13"/>
  <c r="J114" i="13" s="1"/>
  <c r="I123" i="13"/>
  <c r="J123" i="13" s="1"/>
  <c r="I130" i="13"/>
  <c r="J130" i="13" s="1"/>
  <c r="I111" i="13"/>
  <c r="J111" i="13" s="1"/>
  <c r="I138" i="13"/>
  <c r="J138" i="13" s="1"/>
  <c r="I141" i="13"/>
  <c r="J141" i="13" s="1"/>
  <c r="I140" i="13"/>
  <c r="J140" i="13" s="1"/>
  <c r="I157" i="13"/>
  <c r="J157" i="13" s="1"/>
  <c r="I124" i="13"/>
  <c r="J124" i="13" s="1"/>
  <c r="I117" i="13"/>
  <c r="J117" i="13" s="1"/>
  <c r="I115" i="13"/>
  <c r="J115" i="13" s="1"/>
  <c r="I136" i="13"/>
  <c r="J136" i="13" s="1"/>
  <c r="I126" i="13"/>
  <c r="J126" i="13" s="1"/>
  <c r="I102" i="13"/>
  <c r="I142" i="13"/>
  <c r="J142" i="13" s="1"/>
  <c r="I118" i="13"/>
  <c r="J118" i="13" s="1"/>
  <c r="I113" i="13"/>
  <c r="J113" i="13" s="1"/>
  <c r="I127" i="13"/>
  <c r="J127" i="13" s="1"/>
  <c r="I147" i="13"/>
  <c r="J147" i="13" s="1"/>
  <c r="I131" i="13"/>
  <c r="J131" i="13" s="1"/>
  <c r="I110" i="13"/>
  <c r="J110" i="13" s="1"/>
  <c r="I144" i="13"/>
  <c r="J144" i="13" s="1"/>
  <c r="I108" i="13"/>
  <c r="J108" i="13" s="1"/>
  <c r="I154" i="13"/>
  <c r="J154" i="13" s="1"/>
  <c r="I139" i="13"/>
  <c r="J139" i="13" s="1"/>
  <c r="I107" i="13"/>
  <c r="J107" i="13" s="1"/>
  <c r="I128" i="13"/>
  <c r="J128" i="13" s="1"/>
  <c r="I104" i="13"/>
  <c r="J104" i="13" s="1"/>
  <c r="I116" i="13"/>
  <c r="J116" i="13" s="1"/>
  <c r="I103" i="13"/>
  <c r="J103" i="13" s="1"/>
  <c r="I121" i="13"/>
  <c r="J121" i="13" s="1"/>
  <c r="I155" i="13"/>
  <c r="J155" i="13" s="1"/>
  <c r="I120" i="13"/>
  <c r="J120" i="13" s="1"/>
  <c r="I105" i="13"/>
  <c r="J105" i="13" s="1"/>
  <c r="I148" i="13"/>
  <c r="J148" i="13" s="1"/>
  <c r="I146" i="13"/>
  <c r="J146" i="13" s="1"/>
  <c r="I135" i="13"/>
  <c r="J135" i="13" s="1"/>
  <c r="I119" i="13"/>
  <c r="J119" i="13" s="1"/>
  <c r="I132" i="13"/>
  <c r="J132" i="13" s="1"/>
  <c r="I112" i="13"/>
  <c r="J112" i="13" s="1"/>
  <c r="I151" i="13"/>
  <c r="J151" i="13" s="1"/>
  <c r="I153" i="13"/>
  <c r="J153" i="13" s="1"/>
  <c r="I160" i="13"/>
  <c r="J160" i="13" s="1"/>
  <c r="I133" i="13"/>
  <c r="J133" i="13" s="1"/>
  <c r="I159" i="13"/>
  <c r="J159" i="13" s="1"/>
  <c r="I156" i="13"/>
  <c r="J156" i="13" s="1"/>
  <c r="I158" i="13"/>
  <c r="J158" i="13" s="1"/>
  <c r="H162" i="13"/>
  <c r="G236" i="20"/>
  <c r="G224" i="20"/>
  <c r="G139" i="20"/>
  <c r="G229" i="20"/>
  <c r="G154" i="20"/>
  <c r="G225" i="20"/>
  <c r="G190" i="20"/>
  <c r="G191" i="20"/>
  <c r="N177" i="20" s="1"/>
  <c r="G240" i="20"/>
  <c r="G110" i="20"/>
  <c r="G126" i="20"/>
  <c r="G208" i="20"/>
  <c r="G127" i="20"/>
  <c r="G207" i="20"/>
  <c r="G130" i="20"/>
  <c r="G218" i="20"/>
  <c r="G238" i="20"/>
  <c r="G226" i="20"/>
  <c r="G209" i="20"/>
  <c r="G195" i="20"/>
  <c r="G232" i="20"/>
  <c r="G228" i="20"/>
  <c r="G216" i="20"/>
  <c r="G128" i="20"/>
  <c r="G108" i="20"/>
  <c r="G109" i="20"/>
  <c r="G201" i="20"/>
  <c r="G202" i="20"/>
  <c r="G239" i="20"/>
  <c r="G159" i="20"/>
  <c r="G137" i="20"/>
  <c r="G100" i="20"/>
  <c r="G223" i="20"/>
  <c r="G144" i="20"/>
  <c r="G146" i="20"/>
  <c r="G194" i="20"/>
  <c r="G231" i="20"/>
  <c r="G212" i="20"/>
  <c r="G113" i="20"/>
  <c r="N87" i="20" s="1"/>
  <c r="G111" i="20"/>
  <c r="G115" i="20"/>
  <c r="G215" i="20"/>
  <c r="G155" i="20"/>
  <c r="G132" i="20"/>
  <c r="G151" i="20"/>
  <c r="G135" i="20"/>
  <c r="G105" i="20"/>
  <c r="G192" i="20"/>
  <c r="G104" i="20"/>
  <c r="G118" i="20"/>
  <c r="G134" i="20"/>
  <c r="G124" i="20"/>
  <c r="G237" i="20"/>
  <c r="G114" i="20"/>
  <c r="G107" i="20"/>
  <c r="G140" i="20"/>
  <c r="G133" i="20"/>
  <c r="G235" i="20"/>
  <c r="G233" i="20"/>
  <c r="G122" i="20"/>
  <c r="G136" i="20"/>
  <c r="G150" i="20"/>
  <c r="G141" i="20"/>
  <c r="G219" i="20"/>
  <c r="G204" i="20"/>
  <c r="G102" i="20"/>
  <c r="G210" i="20"/>
  <c r="G112" i="20"/>
  <c r="G153" i="20"/>
  <c r="I96" i="20"/>
  <c r="G211" i="20"/>
  <c r="G196" i="20"/>
  <c r="G203" i="20"/>
  <c r="G242" i="20"/>
  <c r="G217" i="20"/>
  <c r="G246" i="20"/>
  <c r="G197" i="20"/>
  <c r="G198" i="20"/>
  <c r="G221" i="20"/>
  <c r="G247" i="20"/>
  <c r="G230" i="20"/>
  <c r="G138" i="20"/>
  <c r="G193" i="20"/>
  <c r="G101" i="20"/>
  <c r="G222" i="20"/>
  <c r="G121" i="20"/>
  <c r="G158" i="20"/>
  <c r="G156" i="20"/>
  <c r="G234" i="20"/>
  <c r="G205" i="20"/>
  <c r="G244" i="20"/>
  <c r="G119" i="20"/>
  <c r="G157" i="20"/>
  <c r="G143" i="20"/>
  <c r="G142" i="20"/>
  <c r="G248" i="20"/>
  <c r="G227" i="20"/>
  <c r="G213" i="20"/>
  <c r="G152" i="20"/>
  <c r="G199" i="20"/>
  <c r="G147" i="20"/>
  <c r="G131" i="20"/>
  <c r="G103" i="20"/>
  <c r="G125" i="20"/>
  <c r="G106" i="20"/>
  <c r="G243" i="20"/>
  <c r="G149" i="20"/>
  <c r="G117" i="20"/>
  <c r="G200" i="20"/>
  <c r="G214" i="20"/>
  <c r="G116" i="20"/>
  <c r="G245" i="20"/>
  <c r="G220" i="20"/>
  <c r="G148" i="20"/>
  <c r="G120" i="20"/>
  <c r="G249" i="20"/>
  <c r="G123" i="20"/>
  <c r="G206" i="20"/>
  <c r="G129" i="20"/>
  <c r="G241" i="20"/>
  <c r="G145" i="20"/>
  <c r="J102" i="13" l="1"/>
  <c r="J162" i="13" s="1"/>
  <c r="I162" i="13"/>
  <c r="G250" i="20"/>
  <c r="G160" i="20"/>
  <c r="H218" i="20"/>
  <c r="I218" i="20" s="1"/>
  <c r="H214" i="20"/>
  <c r="I214" i="20" s="1"/>
  <c r="H133" i="20"/>
  <c r="I133" i="20" s="1"/>
  <c r="H140" i="20"/>
  <c r="I140" i="20" s="1"/>
  <c r="H104" i="20"/>
  <c r="I104" i="20" s="1"/>
  <c r="H148" i="20"/>
  <c r="I148" i="20" s="1"/>
  <c r="H226" i="20"/>
  <c r="I226" i="20" s="1"/>
  <c r="H157" i="20"/>
  <c r="I157" i="20" s="1"/>
  <c r="H153" i="20"/>
  <c r="I153" i="20" s="1"/>
  <c r="H116" i="20"/>
  <c r="I116" i="20" s="1"/>
  <c r="H145" i="20"/>
  <c r="I145" i="20" s="1"/>
  <c r="H241" i="20"/>
  <c r="I241" i="20" s="1"/>
  <c r="H223" i="20"/>
  <c r="I223" i="20" s="1"/>
  <c r="H143" i="20"/>
  <c r="I143" i="20" s="1"/>
  <c r="H203" i="20"/>
  <c r="I203" i="20" s="1"/>
  <c r="H152" i="20"/>
  <c r="I152" i="20" s="1"/>
  <c r="H231" i="20"/>
  <c r="I231" i="20" s="1"/>
  <c r="H200" i="20"/>
  <c r="I200" i="20" s="1"/>
  <c r="H221" i="20"/>
  <c r="I221" i="20" s="1"/>
  <c r="H146" i="20"/>
  <c r="I146" i="20" s="1"/>
  <c r="H114" i="20"/>
  <c r="I114" i="20" s="1"/>
  <c r="H201" i="20"/>
  <c r="I201" i="20" s="1"/>
  <c r="H228" i="20"/>
  <c r="I228" i="20" s="1"/>
  <c r="H130" i="20"/>
  <c r="I130" i="20" s="1"/>
  <c r="H102" i="20"/>
  <c r="I102" i="20" s="1"/>
  <c r="H190" i="20"/>
  <c r="H216" i="20"/>
  <c r="I216" i="20" s="1"/>
  <c r="H106" i="20"/>
  <c r="I106" i="20" s="1"/>
  <c r="H225" i="20"/>
  <c r="I225" i="20" s="1"/>
  <c r="H119" i="20"/>
  <c r="I119" i="20" s="1"/>
  <c r="H142" i="20"/>
  <c r="I142" i="20" s="1"/>
  <c r="H246" i="20"/>
  <c r="I246" i="20" s="1"/>
  <c r="H193" i="20"/>
  <c r="I193" i="20" s="1"/>
  <c r="H205" i="20"/>
  <c r="I205" i="20" s="1"/>
  <c r="H219" i="20"/>
  <c r="I219" i="20" s="1"/>
  <c r="H204" i="20"/>
  <c r="I204" i="20" s="1"/>
  <c r="H156" i="20"/>
  <c r="I156" i="20" s="1"/>
  <c r="H126" i="20"/>
  <c r="I126" i="20" s="1"/>
  <c r="H217" i="20"/>
  <c r="I217" i="20" s="1"/>
  <c r="H206" i="20"/>
  <c r="I206" i="20" s="1"/>
  <c r="H128" i="20"/>
  <c r="I128" i="20" s="1"/>
  <c r="H123" i="20"/>
  <c r="I123" i="20" s="1"/>
  <c r="H209" i="20"/>
  <c r="I209" i="20" s="1"/>
  <c r="H242" i="20"/>
  <c r="I242" i="20" s="1"/>
  <c r="H243" i="20"/>
  <c r="I243" i="20" s="1"/>
  <c r="H248" i="20"/>
  <c r="I248" i="20" s="1"/>
  <c r="H110" i="20"/>
  <c r="I110" i="20" s="1"/>
  <c r="H211" i="20"/>
  <c r="I211" i="20" s="1"/>
  <c r="H236" i="20"/>
  <c r="I236" i="20" s="1"/>
  <c r="H199" i="20"/>
  <c r="I199" i="20" s="1"/>
  <c r="H108" i="20"/>
  <c r="I108" i="20" s="1"/>
  <c r="H196" i="20"/>
  <c r="I196" i="20" s="1"/>
  <c r="H105" i="20"/>
  <c r="I105" i="20" s="1"/>
  <c r="H121" i="20"/>
  <c r="I121" i="20" s="1"/>
  <c r="H198" i="20"/>
  <c r="I198" i="20" s="1"/>
  <c r="H100" i="20"/>
  <c r="H247" i="20"/>
  <c r="I247" i="20" s="1"/>
  <c r="H208" i="20"/>
  <c r="I208" i="20" s="1"/>
  <c r="H154" i="20"/>
  <c r="I154" i="20" s="1"/>
  <c r="H158" i="20"/>
  <c r="I158" i="20" s="1"/>
  <c r="H232" i="20"/>
  <c r="I232" i="20" s="1"/>
  <c r="H117" i="20"/>
  <c r="I117" i="20" s="1"/>
  <c r="H244" i="20"/>
  <c r="I244" i="20" s="1"/>
  <c r="H240" i="20"/>
  <c r="I240" i="20" s="1"/>
  <c r="H135" i="20"/>
  <c r="I135" i="20" s="1"/>
  <c r="H141" i="20"/>
  <c r="I141" i="20" s="1"/>
  <c r="H122" i="20"/>
  <c r="I122" i="20" s="1"/>
  <c r="H120" i="20"/>
  <c r="I120" i="20" s="1"/>
  <c r="H249" i="20"/>
  <c r="I249" i="20" s="1"/>
  <c r="H234" i="20"/>
  <c r="I234" i="20" s="1"/>
  <c r="H191" i="20"/>
  <c r="H134" i="20"/>
  <c r="I134" i="20" s="1"/>
  <c r="H159" i="20"/>
  <c r="I159" i="20" s="1"/>
  <c r="H149" i="20"/>
  <c r="I149" i="20" s="1"/>
  <c r="H192" i="20"/>
  <c r="I192" i="20" s="1"/>
  <c r="H101" i="20"/>
  <c r="I101" i="20" s="1"/>
  <c r="H207" i="20"/>
  <c r="I207" i="20" s="1"/>
  <c r="H131" i="20"/>
  <c r="I131" i="20" s="1"/>
  <c r="H125" i="20"/>
  <c r="I125" i="20" s="1"/>
  <c r="H245" i="20"/>
  <c r="I245" i="20" s="1"/>
  <c r="H138" i="20"/>
  <c r="I138" i="20" s="1"/>
  <c r="H103" i="20"/>
  <c r="I103" i="20" s="1"/>
  <c r="H202" i="20"/>
  <c r="I202" i="20" s="1"/>
  <c r="H109" i="20"/>
  <c r="I109" i="20" s="1"/>
  <c r="H107" i="20"/>
  <c r="I107" i="20" s="1"/>
  <c r="H127" i="20"/>
  <c r="I127" i="20" s="1"/>
  <c r="H137" i="20"/>
  <c r="I137" i="20" s="1"/>
  <c r="H197" i="20"/>
  <c r="I197" i="20" s="1"/>
  <c r="H222" i="20"/>
  <c r="I222" i="20" s="1"/>
  <c r="H220" i="20"/>
  <c r="I220" i="20" s="1"/>
  <c r="H210" i="20"/>
  <c r="I210" i="20" s="1"/>
  <c r="H235" i="20"/>
  <c r="I235" i="20" s="1"/>
  <c r="H118" i="20"/>
  <c r="I118" i="20" s="1"/>
  <c r="H212" i="20"/>
  <c r="I212" i="20" s="1"/>
  <c r="H239" i="20"/>
  <c r="I239" i="20" s="1"/>
  <c r="H155" i="20"/>
  <c r="I155" i="20" s="1"/>
  <c r="H124" i="20"/>
  <c r="I124" i="20" s="1"/>
  <c r="H224" i="20"/>
  <c r="I224" i="20" s="1"/>
  <c r="H129" i="20"/>
  <c r="I129" i="20" s="1"/>
  <c r="H136" i="20"/>
  <c r="I136" i="20" s="1"/>
  <c r="H113" i="20"/>
  <c r="H213" i="20"/>
  <c r="I213" i="20" s="1"/>
  <c r="H238" i="20"/>
  <c r="I238" i="20" s="1"/>
  <c r="H237" i="20"/>
  <c r="I237" i="20" s="1"/>
  <c r="H139" i="20"/>
  <c r="I139" i="20" s="1"/>
  <c r="H233" i="20"/>
  <c r="I233" i="20" s="1"/>
  <c r="H227" i="20"/>
  <c r="I227" i="20" s="1"/>
  <c r="H151" i="20"/>
  <c r="I151" i="20" s="1"/>
  <c r="H195" i="20"/>
  <c r="I195" i="20" s="1"/>
  <c r="H194" i="20"/>
  <c r="I194" i="20" s="1"/>
  <c r="H215" i="20"/>
  <c r="I215" i="20" s="1"/>
  <c r="H144" i="20"/>
  <c r="I144" i="20" s="1"/>
  <c r="H115" i="20"/>
  <c r="I115" i="20" s="1"/>
  <c r="H111" i="20"/>
  <c r="I111" i="20" s="1"/>
  <c r="H147" i="20"/>
  <c r="I147" i="20" s="1"/>
  <c r="H230" i="20"/>
  <c r="I230" i="20" s="1"/>
  <c r="H132" i="20"/>
  <c r="I132" i="20" s="1"/>
  <c r="H150" i="20"/>
  <c r="I150" i="20" s="1"/>
  <c r="H229" i="20"/>
  <c r="I229" i="20" s="1"/>
  <c r="H112" i="20"/>
  <c r="I112" i="20" s="1"/>
  <c r="M26" i="20"/>
  <c r="G27" i="2" s="1"/>
  <c r="L27" i="2" s="1"/>
  <c r="N178" i="20" l="1"/>
  <c r="N179" i="20" s="1"/>
  <c r="I191" i="20"/>
  <c r="I100" i="20"/>
  <c r="H160" i="20"/>
  <c r="I190" i="20"/>
  <c r="H250" i="20"/>
  <c r="I113" i="20"/>
  <c r="N88" i="20"/>
  <c r="I250" i="20" l="1"/>
  <c r="N89" i="20"/>
  <c r="N26" i="20"/>
  <c r="O26" i="20" s="1"/>
  <c r="I160" i="20"/>
</calcChain>
</file>

<file path=xl/sharedStrings.xml><?xml version="1.0" encoding="utf-8"?>
<sst xmlns="http://schemas.openxmlformats.org/spreadsheetml/2006/main" count="2281" uniqueCount="1136">
  <si>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</si>
  <si>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</si>
  <si>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</si>
  <si>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</si>
  <si>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</si>
  <si>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</si>
  <si>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</si>
  <si>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</si>
  <si>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</si>
  <si>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</si>
  <si>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</si>
  <si>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</si>
  <si>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</si>
  <si>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</si>
  <si>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</si>
  <si>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</si>
  <si>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</si>
  <si>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</si>
  <si>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</si>
  <si>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</si>
  <si>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</si>
  <si>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</si>
  <si>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</si>
  <si>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</si>
  <si>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</si>
  <si>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</si>
  <si>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</si>
  <si>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</si>
  <si>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</si>
  <si>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</si>
  <si>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</si>
  <si>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</si>
  <si>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</si>
  <si>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</si>
  <si>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</si>
  <si>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</si>
  <si>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</si>
  <si>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</si>
  <si>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</si>
  <si>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</si>
  <si>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</si>
  <si>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</si>
  <si>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</si>
  <si>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</si>
  <si>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</si>
  <si>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</si>
  <si>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</si>
  <si>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</si>
  <si>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</si>
  <si>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</si>
  <si>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</si>
  <si>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</si>
  <si>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</si>
  <si>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</si>
  <si>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</si>
  <si>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</si>
  <si>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</si>
  <si>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</si>
  <si>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</si>
  <si>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</si>
  <si>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</si>
  <si>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</si>
  <si>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</si>
  <si>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</si>
  <si>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</si>
  <si>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</si>
  <si>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</si>
  <si>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</si>
  <si>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</si>
  <si>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</si>
  <si>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</si>
  <si>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</si>
  <si>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</si>
  <si>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</si>
  <si>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</si>
  <si>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</si>
  <si>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</si>
  <si>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</si>
  <si>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</si>
  <si>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</si>
  <si>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</si>
  <si>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</si>
  <si>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</si>
  <si>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</si>
  <si>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</si>
  <si>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</si>
  <si>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</si>
  <si>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</si>
  <si>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</si>
  <si>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</si>
  <si>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</si>
  <si>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</si>
  <si>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</si>
  <si>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</si>
  <si>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</si>
  <si>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</si>
  <si>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</si>
  <si>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</si>
  <si>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</si>
  <si>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</si>
  <si>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</si>
  <si>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</si>
  <si>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</si>
  <si>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</si>
  <si>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</si>
  <si>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</si>
  <si>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</si>
  <si>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</si>
  <si>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</si>
  <si>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</si>
  <si>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</si>
  <si>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</si>
  <si>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</si>
  <si>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</si>
  <si>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</si>
  <si>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</si>
  <si>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</si>
  <si>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</si>
  <si>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</si>
  <si>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</si>
  <si>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</si>
  <si>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</si>
  <si>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</si>
  <si>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</si>
  <si>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</si>
  <si>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</si>
  <si>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</si>
  <si>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</si>
  <si>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</si>
  <si>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</si>
  <si>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</si>
  <si>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</si>
  <si>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</si>
  <si>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</si>
  <si>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</si>
  <si>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</si>
  <si>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</si>
  <si>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</si>
  <si>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</si>
  <si>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</si>
  <si>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</si>
  <si>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</si>
  <si>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</si>
  <si>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</si>
  <si>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</si>
  <si>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</si>
  <si>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</si>
  <si>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</si>
  <si>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</si>
  <si>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</si>
  <si>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</si>
  <si>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</si>
  <si>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</si>
  <si>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</si>
  <si>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</si>
  <si>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</si>
  <si>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</si>
  <si>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</si>
  <si>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</si>
  <si>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</si>
  <si>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</si>
  <si>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</si>
  <si>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</si>
  <si>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</si>
  <si>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</si>
  <si>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</si>
  <si>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</si>
  <si>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</si>
  <si>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</si>
  <si>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</si>
  <si>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</si>
  <si>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</si>
  <si>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</si>
  <si>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</si>
  <si>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</si>
  <si>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</si>
  <si>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</si>
  <si>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</si>
  <si>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</si>
  <si>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</si>
  <si>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</si>
  <si>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</si>
  <si>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</si>
  <si>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</si>
  <si>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</si>
  <si>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</si>
  <si>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</si>
  <si>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</si>
  <si>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</si>
  <si>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</si>
  <si>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</si>
  <si>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</si>
  <si>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</si>
  <si>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</si>
  <si>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</si>
  <si>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</si>
  <si>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</si>
  <si>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</si>
  <si>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</si>
  <si>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</si>
  <si>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</si>
  <si>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</si>
  <si>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</si>
  <si>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</si>
  <si>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</si>
  <si>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</si>
  <si>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</si>
  <si>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</si>
  <si>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</si>
  <si>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</si>
  <si>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</si>
  <si>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</si>
  <si>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</si>
  <si>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</si>
  <si>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</si>
  <si>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</si>
  <si>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</si>
  <si>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</si>
  <si>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</si>
  <si>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</si>
  <si>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</si>
  <si>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</si>
  <si>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</si>
  <si>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</si>
  <si>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</si>
  <si>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</si>
  <si>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</si>
  <si>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</si>
  <si>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</si>
  <si>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</si>
  <si>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</si>
  <si>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</si>
  <si>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</si>
  <si>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</si>
  <si>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</si>
  <si>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</si>
  <si>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</si>
  <si>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</si>
  <si>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</si>
  <si>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</si>
  <si>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</si>
  <si>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</si>
  <si>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</si>
  <si>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</si>
  <si>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</si>
  <si>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</si>
  <si>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</si>
  <si>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</si>
  <si>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</si>
  <si>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</si>
  <si>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</si>
  <si>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</si>
  <si>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</si>
  <si>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</si>
  <si>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</si>
  <si>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</si>
  <si>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</si>
  <si>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</si>
  <si>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</si>
  <si>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</si>
  <si>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</si>
  <si>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</si>
  <si>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</si>
  <si>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</si>
  <si>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</si>
  <si>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</si>
  <si>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</si>
  <si>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</si>
  <si>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</si>
  <si>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</si>
  <si>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</si>
  <si>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</si>
  <si>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</si>
  <si>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</si>
  <si>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</si>
  <si>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</si>
  <si>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</si>
  <si>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</si>
  <si>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</si>
  <si>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</si>
  <si>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</si>
  <si>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</si>
  <si>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</si>
  <si>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</si>
  <si>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</si>
  <si>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</si>
  <si>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</si>
  <si>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</si>
  <si>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</si>
  <si>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</si>
  <si>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</si>
  <si>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</si>
  <si>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</si>
  <si>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</si>
  <si>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</si>
  <si>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</si>
  <si>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</si>
  <si>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</si>
  <si>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</si>
  <si>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</si>
  <si>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</si>
  <si>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</si>
  <si>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</si>
  <si>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</si>
  <si>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</si>
  <si>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</si>
  <si>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</si>
  <si>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</si>
  <si>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</si>
  <si>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</si>
  <si>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</si>
  <si>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</si>
  <si>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</si>
  <si>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</si>
  <si>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</si>
  <si>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</si>
  <si>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</si>
  <si>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</si>
  <si>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</si>
  <si>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</si>
  <si>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</si>
  <si>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</si>
  <si>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</si>
  <si>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</si>
  <si>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</si>
  <si>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</si>
  <si>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</si>
  <si>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</si>
  <si>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</si>
  <si>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</si>
  <si>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</si>
  <si>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</si>
  <si>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</si>
  <si>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</si>
  <si>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</si>
  <si>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</si>
  <si>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</si>
  <si>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</si>
  <si>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</si>
  <si>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</si>
  <si>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</si>
  <si>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</si>
  <si>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</si>
  <si>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</si>
  <si>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</si>
  <si>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</si>
  <si>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</si>
  <si>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</si>
  <si>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</si>
  <si>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</si>
  <si>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</si>
  <si>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</si>
  <si>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</si>
  <si>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</si>
  <si>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</si>
  <si>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</si>
  <si>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</si>
  <si>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</si>
  <si>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</si>
  <si>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</si>
  <si>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</si>
  <si>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</si>
  <si>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</si>
  <si>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</si>
  <si>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</si>
  <si>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</si>
  <si>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</si>
  <si>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</si>
  <si>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</si>
  <si>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</si>
  <si>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</si>
  <si>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</si>
  <si>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</si>
  <si>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</si>
  <si>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</si>
  <si>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</si>
  <si>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</si>
  <si>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</si>
  <si>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</si>
  <si>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</si>
  <si>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</si>
  <si>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</si>
  <si>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</si>
  <si>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</si>
  <si>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</si>
  <si>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</si>
  <si>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</si>
  <si>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</si>
  <si>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</si>
  <si>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</si>
  <si>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</si>
  <si>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</si>
  <si>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</si>
  <si>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</si>
  <si>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</si>
  <si>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</si>
  <si>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</si>
  <si>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</si>
  <si>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</si>
  <si>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</si>
  <si>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</si>
  <si>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</si>
  <si>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</si>
  <si>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</si>
  <si>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</si>
  <si>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</si>
  <si>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</si>
  <si>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</si>
  <si>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</si>
  <si>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</si>
  <si>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</si>
  <si>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</si>
  <si>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</si>
  <si>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</si>
  <si>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</si>
  <si>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</si>
  <si>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</si>
  <si>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</si>
  <si>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</si>
  <si>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</si>
  <si>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</si>
  <si>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</si>
  <si>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</si>
  <si>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</si>
  <si>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</si>
  <si>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</si>
  <si>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</si>
  <si>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</si>
  <si>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</si>
  <si>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</si>
  <si>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</si>
  <si>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</si>
  <si>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</si>
  <si>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</si>
  <si>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</si>
  <si>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</si>
  <si>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</si>
  <si>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</si>
  <si>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</si>
  <si>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</si>
  <si>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</si>
  <si>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</si>
  <si>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</si>
  <si>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</si>
  <si>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</si>
  <si>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</si>
  <si>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</si>
  <si>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</si>
  <si>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</si>
  <si>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</si>
  <si>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</si>
  <si>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</si>
  <si>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</si>
  <si>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</si>
  <si>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</si>
  <si>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</si>
  <si>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</si>
  <si>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</si>
  <si>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</si>
  <si>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</si>
  <si>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</si>
  <si>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</si>
  <si>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</si>
  <si>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</si>
  <si>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</si>
  <si>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</si>
  <si>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</si>
  <si>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</si>
  <si>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</si>
  <si>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</si>
  <si>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</si>
  <si>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</si>
  <si>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</si>
  <si>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</si>
  <si>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</si>
  <si>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</si>
  <si>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</si>
  <si>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</si>
  <si>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</si>
  <si>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</si>
  <si>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</si>
  <si>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</si>
  <si>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</si>
  <si>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</si>
  <si>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</si>
  <si>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</si>
  <si>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</si>
  <si>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</si>
  <si>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</si>
  <si>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</si>
  <si>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</si>
  <si>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</si>
  <si>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</si>
  <si>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</si>
  <si>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</si>
  <si>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</si>
  <si>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</si>
  <si>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</si>
  <si>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</si>
  <si>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</si>
  <si>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</si>
  <si>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</si>
  <si>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</si>
  <si>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</si>
  <si>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</si>
  <si>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</si>
  <si>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</si>
  <si>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</si>
  <si>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</si>
  <si>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</si>
  <si>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</si>
  <si>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</si>
  <si>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</si>
  <si>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</si>
  <si>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</si>
  <si>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</si>
  <si>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</si>
  <si>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</si>
  <si>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</si>
  <si>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</si>
  <si>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</si>
  <si>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</si>
  <si>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</si>
  <si>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</si>
  <si>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</si>
  <si>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</si>
  <si>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</si>
  <si>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</si>
  <si>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</si>
  <si>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</si>
  <si>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</si>
  <si>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</si>
  <si>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</si>
  <si>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</si>
  <si>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</si>
  <si>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</si>
  <si>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</si>
  <si>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</si>
  <si>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</si>
  <si>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</si>
  <si>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</si>
  <si>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</si>
  <si>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</si>
  <si>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</si>
  <si>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</si>
  <si>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</si>
  <si>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</si>
  <si>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</si>
  <si>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</si>
  <si>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</si>
  <si>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</si>
  <si>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</si>
  <si>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</si>
  <si>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</si>
  <si>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</si>
  <si>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</si>
  <si>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</si>
  <si>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</si>
  <si>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</si>
  <si>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</si>
  <si>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</si>
  <si>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</si>
  <si>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</si>
  <si>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</si>
  <si>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</si>
  <si>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</si>
  <si>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</si>
  <si>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</si>
  <si>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</si>
  <si>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</si>
  <si>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</si>
  <si>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</si>
  <si>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</si>
  <si>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</si>
  <si>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</si>
  <si>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</si>
  <si>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</si>
  <si>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</si>
  <si>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</si>
  <si>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</si>
  <si>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</si>
  <si>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</si>
  <si>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</si>
  <si>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</si>
  <si>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</si>
  <si>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</si>
  <si>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</si>
  <si>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</si>
  <si>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</si>
  <si>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</si>
  <si>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</si>
  <si>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</si>
  <si>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</si>
  <si>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</si>
  <si>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</si>
  <si>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Real and Personal Property - Tennessee</t>
  </si>
  <si>
    <t>Real and Personal Property - West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</si>
  <si>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</si>
  <si>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</si>
  <si>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</si>
  <si>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</si>
  <si>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</si>
  <si>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</si>
  <si>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</si>
  <si>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</si>
  <si>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(4)  </t>
  </si>
  <si>
    <t xml:space="preserve">(5)  </t>
  </si>
  <si>
    <t>Attachment H-14B, Part II, pg. 15 of 21.</t>
  </si>
  <si>
    <t xml:space="preserve">(6)  </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</si>
  <si>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</si>
  <si>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</si>
  <si>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</si>
  <si>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</si>
  <si>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</si>
  <si>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</si>
  <si>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</si>
  <si>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</si>
  <si>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</si>
  <si>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</si>
  <si>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</si>
  <si>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</si>
  <si>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</si>
  <si>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</si>
  <si>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</si>
  <si>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</si>
  <si>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</si>
  <si>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</si>
  <si>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</si>
  <si>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</si>
  <si>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</si>
  <si>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</si>
  <si>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</si>
  <si>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</si>
  <si>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</si>
  <si>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</si>
  <si>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</si>
  <si>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</si>
  <si>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</si>
  <si>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</si>
  <si>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</si>
  <si>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</si>
  <si>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</si>
  <si>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</si>
  <si>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</si>
  <si>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</si>
  <si>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</si>
  <si>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</si>
  <si>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</si>
  <si>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</si>
  <si>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</si>
  <si>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</si>
  <si>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</si>
  <si>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</si>
  <si>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</si>
  <si>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</si>
  <si>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</si>
  <si>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</si>
  <si>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</si>
  <si>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</si>
  <si>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</si>
  <si>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</si>
  <si>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</si>
  <si>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</si>
  <si>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</si>
  <si>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</si>
  <si>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</si>
  <si>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</si>
  <si>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</si>
  <si>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</si>
  <si>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</si>
  <si>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</si>
  <si>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</si>
  <si>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</si>
  <si>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</si>
  <si>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</si>
  <si>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</si>
  <si>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</si>
  <si>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</si>
  <si>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</si>
  <si>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</si>
  <si>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</si>
  <si>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</si>
  <si>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</si>
  <si>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</si>
  <si>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</si>
  <si>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</si>
  <si>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</si>
  <si>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</si>
  <si>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</si>
  <si>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</si>
  <si>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</si>
  <si>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</si>
  <si>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</si>
  <si>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</si>
  <si>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</si>
  <si>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</si>
  <si>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</si>
  <si>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</si>
  <si>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</si>
  <si>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</si>
  <si>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</si>
  <si>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</si>
  <si>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</si>
  <si>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</si>
  <si>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</si>
  <si>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</si>
  <si>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</si>
  <si>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</si>
  <si>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</si>
  <si>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</si>
  <si>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</si>
  <si>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</si>
  <si>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</si>
  <si>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</si>
  <si>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</si>
  <si>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</si>
  <si>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</si>
  <si>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</si>
  <si>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</si>
  <si>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</si>
  <si>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</si>
  <si>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</si>
  <si>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</si>
  <si>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</si>
  <si>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</si>
  <si>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</si>
  <si>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</si>
  <si>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</si>
  <si>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</si>
  <si>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</si>
  <si>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</si>
  <si>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</si>
  <si>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</si>
  <si>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</si>
  <si>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</si>
  <si>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</si>
  <si>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</si>
  <si>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</si>
  <si>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</si>
  <si>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</si>
  <si>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</si>
  <si>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</si>
  <si>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</si>
  <si>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</si>
  <si>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</si>
  <si>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</si>
  <si>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</si>
  <si>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</si>
  <si>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</si>
  <si>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</si>
  <si>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</si>
  <si>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</si>
  <si>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</si>
  <si>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</si>
  <si>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</si>
  <si>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</si>
  <si>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</si>
  <si>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</si>
  <si>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</si>
  <si>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</si>
  <si>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</si>
  <si>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</si>
  <si>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</si>
  <si>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</si>
  <si>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</si>
  <si>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</si>
  <si>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</si>
  <si>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</si>
  <si>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</si>
  <si>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</si>
  <si>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</si>
  <si>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</si>
  <si>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</si>
  <si>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</si>
  <si>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FOR SINGLE JURISDICTION COMPANIES</t>
  </si>
  <si>
    <t>KINGSPORT POWER COMPANY</t>
  </si>
  <si>
    <t xml:space="preserve">  Composite Transmission Depreciation Rate</t>
  </si>
  <si>
    <t>Reference:</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</si>
  <si>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</si>
  <si>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</si>
  <si>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</si>
  <si>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</si>
  <si>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</si>
  <si>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</si>
  <si>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</si>
  <si>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</si>
  <si>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</si>
  <si>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</si>
  <si>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</si>
  <si>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</si>
  <si>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</si>
  <si>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</si>
  <si>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</si>
  <si>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</si>
  <si>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</si>
  <si>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</si>
  <si>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</si>
  <si>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</si>
  <si>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</si>
  <si>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</si>
  <si>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</si>
  <si>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</si>
  <si>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</si>
  <si>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</si>
  <si>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</si>
  <si>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</si>
  <si>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</si>
  <si>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</si>
  <si>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</si>
  <si>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</si>
  <si>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</si>
  <si>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</si>
  <si>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</si>
  <si>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</si>
  <si>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</si>
  <si>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</si>
  <si>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</si>
  <si>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</si>
  <si>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</si>
  <si>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</si>
  <si>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</si>
  <si>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</si>
  <si>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</si>
  <si>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</si>
  <si>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</si>
  <si>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</si>
  <si>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</si>
  <si>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</si>
  <si>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</si>
  <si>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</si>
  <si>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</si>
  <si>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</si>
  <si>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</si>
  <si>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</si>
  <si>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</si>
  <si>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</si>
  <si>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</si>
  <si>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</si>
  <si>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</si>
  <si>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</si>
  <si>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</si>
  <si>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</si>
  <si>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</si>
  <si>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</si>
  <si>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</si>
  <si>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</si>
  <si>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</si>
  <si>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</si>
  <si>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</si>
  <si>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</si>
  <si>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</si>
  <si>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</si>
  <si>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</si>
  <si>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</si>
  <si>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</si>
  <si>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</si>
  <si>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</si>
  <si>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</si>
  <si>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1650001</t>
  </si>
  <si>
    <t>Prepaid Insurance</t>
  </si>
  <si>
    <t>1650010</t>
  </si>
  <si>
    <t>Prepaid Pension Benefits</t>
  </si>
  <si>
    <t>1650014</t>
  </si>
  <si>
    <t>FAS 158 Qual Contra Asset</t>
  </si>
  <si>
    <t>Prepaid Insurance - EIS</t>
  </si>
  <si>
    <t>9280000</t>
  </si>
  <si>
    <t>Regulatory Commission Exp</t>
  </si>
  <si>
    <t>9302000</t>
  </si>
  <si>
    <t>Misc General Expenses</t>
  </si>
  <si>
    <t>9302003</t>
  </si>
  <si>
    <t>Corporate &amp; Fiscal Expenses</t>
  </si>
  <si>
    <t>9302004</t>
  </si>
  <si>
    <t>Research, Develop&amp;Demonstr Exp</t>
  </si>
  <si>
    <t>9302007</t>
  </si>
  <si>
    <t>Assoc Business Development Exp</t>
  </si>
  <si>
    <t>Apportionment Factor - Note 2</t>
  </si>
  <si>
    <t>Ohio Municipal Net Income Tax</t>
  </si>
  <si>
    <t>Ohio Franchise Tax Rate</t>
  </si>
  <si>
    <t>Phase-out Factor Note 1</t>
  </si>
  <si>
    <t>WEST VA JURISDICTION</t>
  </si>
  <si>
    <t>Real and Personal Property - Other</t>
  </si>
  <si>
    <t>OPCo Worksheet J -  ATRR PROJECTED Calculation for PJM Projects Charged to Benefiting Zones</t>
  </si>
  <si>
    <t>No</t>
  </si>
  <si>
    <r>
      <t xml:space="preserve">## </t>
    </r>
    <r>
      <rPr>
        <b/>
        <sz val="10"/>
        <rFont val="Arial"/>
        <family val="2"/>
      </rPr>
      <t>This is the calculation of  additional incentive revenue on projects deemed by the FERC to be eligible for an incentive return.  This</t>
    </r>
  </si>
  <si>
    <t>Prepaid Taxes</t>
  </si>
  <si>
    <t>1650021</t>
  </si>
  <si>
    <t>Prepaid Taxes - Distribution</t>
  </si>
  <si>
    <t>Prefunded Pension Expense</t>
  </si>
  <si>
    <t>RTEP ID: b1864.2 (West Bellaire-Brues 138kV Circuit)</t>
  </si>
  <si>
    <t>EIS Insurance</t>
  </si>
  <si>
    <t>Medical Benefits</t>
  </si>
  <si>
    <t>Muni B&amp;O Tax</t>
  </si>
  <si>
    <t>SFAS 158 Offsett</t>
  </si>
  <si>
    <t>9280001</t>
  </si>
  <si>
    <t>Regulatory Commission Exp-Adm</t>
  </si>
  <si>
    <t>9280002</t>
  </si>
  <si>
    <t>Regulatory Commission Exp-Case</t>
  </si>
  <si>
    <t>9280005</t>
  </si>
  <si>
    <t>Reg Com Exp-FERC Trans Cases</t>
  </si>
  <si>
    <t>Capital Structure Equity Limit (Note Z)</t>
  </si>
  <si>
    <t>Cap Limit</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</si>
  <si>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</si>
  <si>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</si>
  <si>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</si>
  <si>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WHEELING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</si>
  <si>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</si>
  <si>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</si>
  <si>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</si>
  <si>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</si>
  <si>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</si>
  <si>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</si>
  <si>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</si>
  <si>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</si>
  <si>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</si>
  <si>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</si>
  <si>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</si>
  <si>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</si>
  <si>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</si>
  <si>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</si>
  <si>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</si>
  <si>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</si>
  <si>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</si>
  <si>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</si>
  <si>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</si>
  <si>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 xml:space="preserve">410/411
Excess Amortization </t>
  </si>
  <si>
    <t>410/411 Deferred Tax Expense/ (Benefit)</t>
  </si>
  <si>
    <t>Reference</t>
  </si>
  <si>
    <t>Sum of Cols (I) - (O)</t>
  </si>
  <si>
    <t>Deferred Tax Account (NOTE B)</t>
  </si>
  <si>
    <t>1a</t>
  </si>
  <si>
    <t xml:space="preserve">ADFIT - FAS 109 Excess </t>
  </si>
  <si>
    <t>N/A</t>
  </si>
  <si>
    <t>TCJA 2017</t>
  </si>
  <si>
    <t>1b</t>
  </si>
  <si>
    <t>ADFIT - Accel Amortization Property</t>
  </si>
  <si>
    <t>Protected</t>
  </si>
  <si>
    <t>ARAM</t>
  </si>
  <si>
    <t>Life of Asset</t>
  </si>
  <si>
    <t>1c</t>
  </si>
  <si>
    <t>ADFIT - Accel Amort FAS 109 Excess</t>
  </si>
  <si>
    <t>WS B - 1 Col C/D, ADIT item 2.06</t>
  </si>
  <si>
    <t>1d</t>
  </si>
  <si>
    <t>ADFIT - Utility Property</t>
  </si>
  <si>
    <t>1e</t>
  </si>
  <si>
    <t>Unprotected</t>
  </si>
  <si>
    <t>10 Years</t>
  </si>
  <si>
    <t>1/2018 - 12/2027</t>
  </si>
  <si>
    <t>1f</t>
  </si>
  <si>
    <t>ADFIT - Utility Property FAS 109 Excess</t>
  </si>
  <si>
    <t>1g</t>
  </si>
  <si>
    <t>1h</t>
  </si>
  <si>
    <t>ADFIT - Other Utility Deferrals</t>
  </si>
  <si>
    <t>1i</t>
  </si>
  <si>
    <t>ADFIT - Other FAS 109 Excess</t>
  </si>
  <si>
    <t>1j</t>
  </si>
  <si>
    <t>NOTE E</t>
  </si>
  <si>
    <t>Regulatory Deferral Accounts</t>
  </si>
  <si>
    <t>2a</t>
  </si>
  <si>
    <t xml:space="preserve">Regulatory Asset  </t>
  </si>
  <si>
    <t xml:space="preserve"> Company Records</t>
  </si>
  <si>
    <t>2b</t>
  </si>
  <si>
    <t>Regulatory Liability</t>
  </si>
  <si>
    <t>FERC Form 1 p. 278 Ln. 3 Cols, (b) /(f)</t>
  </si>
  <si>
    <t>2c</t>
  </si>
  <si>
    <t>NOTE F</t>
  </si>
  <si>
    <t>TRANSMISSION FUNCTION BALANCES</t>
  </si>
  <si>
    <t>4a</t>
  </si>
  <si>
    <t>4b</t>
  </si>
  <si>
    <t>4c</t>
  </si>
  <si>
    <t>4d</t>
  </si>
  <si>
    <t>4e</t>
  </si>
  <si>
    <t>4f</t>
  </si>
  <si>
    <t>4g</t>
  </si>
  <si>
    <t>4h</t>
  </si>
  <si>
    <t>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</si>
  <si>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</si>
  <si>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</si>
  <si>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</si>
  <si>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</si>
  <si>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</si>
  <si>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</si>
  <si>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</si>
  <si>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</si>
  <si>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</si>
  <si>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</si>
  <si>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</si>
  <si>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</si>
  <si>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9280003</t>
  </si>
  <si>
    <t>Rate Case Amort</t>
  </si>
  <si>
    <t>State B&amp;O Tax</t>
  </si>
  <si>
    <t>Appalachian Power Company</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</si>
  <si>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</si>
  <si>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</si>
  <si>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</si>
  <si>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</si>
  <si>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</si>
  <si>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</si>
  <si>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</si>
  <si>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</si>
  <si>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EFFECTIVE AS OF 3/1/2019</t>
  </si>
  <si>
    <r>
      <t>190</t>
    </r>
    <r>
      <rPr>
        <sz val="9"/>
        <color rgb="FFFF0000"/>
        <rFont val="Arial"/>
        <family val="2"/>
      </rPr>
      <t>4</t>
    </r>
    <r>
      <rPr>
        <sz val="9"/>
        <rFont val="Arial"/>
        <family val="2"/>
      </rPr>
      <t>001</t>
    </r>
  </si>
  <si>
    <t>WS B - 2 Col C/D, ADIT item 2.51</t>
  </si>
  <si>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</si>
  <si>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</si>
  <si>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</si>
  <si>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M+N+O , ADIT Item 5.24</t>
  </si>
  <si>
    <r>
      <t>282</t>
    </r>
    <r>
      <rPr>
        <sz val="9"/>
        <color rgb="FFFF0000"/>
        <rFont val="Arial"/>
        <family val="2"/>
      </rPr>
      <t>4</t>
    </r>
    <r>
      <rPr>
        <sz val="9"/>
        <rFont val="Arial"/>
        <family val="2"/>
      </rPr>
      <t>001</t>
    </r>
  </si>
  <si>
    <t>WS B - 1 Col C/D, ADIT Item 5.27</t>
  </si>
  <si>
    <r>
      <t>283</t>
    </r>
    <r>
      <rPr>
        <sz val="9"/>
        <color rgb="FFFF0000"/>
        <rFont val="Arial"/>
        <family val="2"/>
      </rPr>
      <t>1</t>
    </r>
    <r>
      <rPr>
        <sz val="9"/>
        <rFont val="Arial"/>
        <family val="2"/>
      </rPr>
      <t>001</t>
    </r>
  </si>
  <si>
    <t>WS B - 1 Cols M+N+O , ADIT Item 9.39</t>
  </si>
  <si>
    <r>
      <t>283</t>
    </r>
    <r>
      <rPr>
        <sz val="9"/>
        <color rgb="FFFF0000"/>
        <rFont val="Arial"/>
        <family val="2"/>
      </rPr>
      <t>4</t>
    </r>
    <r>
      <rPr>
        <sz val="9"/>
        <rFont val="Arial"/>
        <family val="2"/>
      </rPr>
      <t>001</t>
    </r>
  </si>
  <si>
    <t>WS B - 1 Col C/D, ADIT Item 9.42</t>
  </si>
  <si>
    <t>WS B - 1 Col N, ADIT Item 5.24</t>
  </si>
  <si>
    <t>WS B - 1 Cols N , ADIT Item 9.39</t>
  </si>
  <si>
    <t>Other Prepayments</t>
  </si>
  <si>
    <t>53c</t>
  </si>
  <si>
    <t>165000219</t>
  </si>
  <si>
    <t>165000220</t>
  </si>
  <si>
    <t>1650006</t>
  </si>
  <si>
    <t>1650035</t>
  </si>
  <si>
    <t>PRW Without MED-D Benefits</t>
  </si>
  <si>
    <t>1650037</t>
  </si>
  <si>
    <t>FAS158 Contra-PRW Exclud Med-D</t>
  </si>
  <si>
    <t>For Year Ended December 31, 2024</t>
  </si>
  <si>
    <t>1/1/2024 Beginning  Balances</t>
  </si>
  <si>
    <t>12/31/2024 Ending Balance</t>
  </si>
  <si>
    <t>State Publ Serv CommissionFees</t>
  </si>
  <si>
    <t xml:space="preserve">Accum Prv I/D </t>
  </si>
  <si>
    <t>2282000</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</si>
  <si>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</si>
  <si>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</si>
  <si>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</si>
  <si>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</si>
  <si>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</si>
  <si>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</si>
  <si>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</si>
  <si>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</si>
  <si>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</si>
  <si>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</si>
  <si>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</si>
  <si>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</si>
  <si>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</si>
  <si>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</si>
  <si>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</si>
  <si>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</si>
  <si>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</si>
  <si>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</si>
  <si>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</si>
  <si>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</si>
  <si>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</si>
  <si>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</si>
  <si>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</si>
  <si>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</si>
  <si>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</si>
  <si>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</si>
  <si>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</si>
  <si>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</si>
  <si>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</si>
  <si>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</si>
  <si>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</si>
  <si>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</si>
  <si>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</si>
  <si>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</si>
  <si>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</si>
  <si>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</si>
  <si>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</si>
  <si>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</si>
  <si>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</si>
  <si>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</si>
  <si>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</si>
  <si>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</si>
  <si>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</si>
  <si>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</si>
  <si>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</si>
  <si>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</si>
  <si>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</si>
  <si>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</si>
  <si>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</si>
  <si>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</si>
  <si>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</si>
  <si>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</si>
  <si>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</si>
  <si>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</si>
  <si>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</si>
  <si>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</si>
  <si>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</si>
  <si>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</si>
  <si>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</si>
  <si>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</si>
  <si>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</si>
  <si>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</si>
  <si>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</si>
  <si>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</si>
  <si>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</si>
  <si>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</si>
  <si>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</si>
  <si>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West Virginia</t>
  </si>
  <si>
    <t>State Income Tax Rate - Illinois</t>
  </si>
  <si>
    <t>State Income Tax Rate - Michigan</t>
  </si>
  <si>
    <t>State Income Tax Rate - Kentucky</t>
  </si>
  <si>
    <t>1650041</t>
  </si>
  <si>
    <t>Prepaid Regulatory Fees</t>
  </si>
  <si>
    <t>2023 Collections</t>
  </si>
  <si>
    <t xml:space="preserve"> TRANSMISSION PLANT (6)</t>
  </si>
  <si>
    <t>VA</t>
  </si>
  <si>
    <t xml:space="preserve">  (1) As stated in the order in VA Case No. in Case No. PUR-2020-00015, depreciation rates should be implemented at the time depreciation study is preformed.  This is a preliminary update to the Clinch River depreciation rates until an order is issued approving depreciation rates in 2022-2023 VA Biennial Review.</t>
  </si>
  <si>
    <t xml:space="preserve">Transmission allocation factors are changed annually in January based on </t>
  </si>
  <si>
    <t>September factors as per the PJM tariff approved in FERC Docket ER08-1329</t>
  </si>
  <si>
    <t xml:space="preserve">        Depreciation rates were made effective January 1, 2024.</t>
  </si>
  <si>
    <t xml:space="preserve">(7)  </t>
  </si>
  <si>
    <t>Initial depreciation rates for the jurisdictional shares of CCR/ELG investment at Amos and Mountaineer approved in VA Case No. PUR-2020-00015 and WV Case No. 20-1040-E-CN.</t>
  </si>
  <si>
    <t>EFFECTIVE AS OF 1/1/2024</t>
  </si>
  <si>
    <t>EFFECTIVE AS OF JULY 15, 2024</t>
  </si>
  <si>
    <t xml:space="preserve">  (1) As approved by the IURC from settlement in Cause No. 45933 dated May 8, 2024 and effective on May 23, 2024.  </t>
  </si>
  <si>
    <t xml:space="preserve">  (2) As approved as part of a settlement in Michigan Case No. U-21412, order dated October 12, 2023.  New rates became effective upon an order recieved in Case No. U-21461, dated July 2, 2024 (rates effective July 15, 2024).  FERC wholesale formula rate agreements specify that FERC depreciation rates change upon approval of MPSC rates in the Michigan jurisdiction. </t>
  </si>
  <si>
    <t xml:space="preserve">  (3) I&amp;M's Storage Battery Equipment is located in Indiana in East Busco Substation.  The battery was placed in-service in January 2009.  Since the battery is Distribution property located in Indiana, there is only an Indiana depreciation rate associated with this equipment.  Therefore the same Indiana rate was used for Michigan and FERC so that the weighted average rate would equal the Indiana rate.</t>
  </si>
  <si>
    <t xml:space="preserve">  (4) In its order in Indiana Cause No. 43231 dated June 13, 2007, I&amp;M was required to design and administer a Smart Metering Pilot Program including approximately 10,000 meters.  Company personnel reviewed the expected life span for these new meters and determined that due to changes in technology and obsolesence the new equipment should have a life of approximately 10 years. </t>
  </si>
  <si>
    <t xml:space="preserve">  (5) Distribution Plant (recorded by state) is assigned only to jurisdictions within each state.</t>
  </si>
  <si>
    <t>EFFECTIVE AS OF 08/01/2022</t>
  </si>
  <si>
    <t>Note 1:   Rates Approved In Tennessee Regulatory Authority Docket No. 21-00107</t>
  </si>
  <si>
    <t xml:space="preserve">  Land and Land Rights</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</si>
  <si>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</si>
  <si>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</si>
  <si>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</si>
  <si>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</si>
  <si>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</si>
  <si>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</si>
  <si>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</si>
  <si>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</si>
  <si>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 xml:space="preserve">Note 2: General Plant depreciation rates were updated as a result of the order issued in Cases No 16-1852-EL-SSO and 16-1853-EL-SSO. </t>
  </si>
  <si>
    <t xml:space="preserve">  AMI - Communications Equipment</t>
  </si>
  <si>
    <t>GENERAL PLANT (NOTE 2)</t>
  </si>
  <si>
    <t>EFFECTIVE AS OF 1/1/2012</t>
  </si>
  <si>
    <t>2024 Forecasted Revenue Requirement For Year 2024</t>
  </si>
  <si>
    <t>An over or under collection will be recovered prorata over 2024, held for 2025 and returned prorate over 2026</t>
  </si>
  <si>
    <t>RTEP ID: b3800.121 Kammer to 502 Junction 500 kV line: Conduct LIDAR Sag Study to assess SE rating and needed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</si>
</sst>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0.000000%"/>
    <numFmt numFmtId="201" formatCode="0.0000000"/>
  </numFmts>
  <fonts count="172">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sz val="10"/>
      <name val="Arial"/>
      <family val="2"/>
    </font>
    <font>
      <sz val="9"/>
      <name val="Arial MT"/>
      <family val="2"/>
    </font>
    <font>
      <i/>
      <sz val="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i/>
      <sz val="12"/>
      <name val="Arial MT"/>
    </font>
    <font>
      <sz val="9"/>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60">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medium">
        <color indexed="8"/>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style="thin">
        <color indexed="64"/>
      </right>
      <top style="thin">
        <color indexed="64"/>
      </top>
      <bottom/>
      <diagonal/>
    </border>
    <border>
      <left/>
      <right/>
      <top style="thin">
        <color indexed="64"/>
      </top>
      <bottom/>
      <diagonal/>
    </border>
  </borders>
  <cellStyleXfs count="405">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5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5" fillId="0" borderId="0" applyFont="0" applyFill="0" applyBorder="0" applyAlignment="0" applyProtection="0"/>
    <xf numFmtId="43" fontId="13" fillId="0" borderId="0" applyFont="0" applyFill="0" applyBorder="0" applyAlignment="0" applyProtection="0"/>
    <xf numFmtId="43" fontId="138" fillId="0" borderId="0" applyFont="0" applyFill="0" applyBorder="0" applyAlignment="0" applyProtection="0"/>
    <xf numFmtId="43" fontId="13" fillId="0" borderId="0" applyFont="0" applyFill="0" applyBorder="0" applyAlignment="0" applyProtection="0"/>
    <xf numFmtId="43" fontId="15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59" fillId="0" borderId="0" applyFont="0" applyFill="0" applyBorder="0" applyAlignment="0" applyProtection="0"/>
    <xf numFmtId="43" fontId="13" fillId="0" borderId="0" applyFont="0" applyFill="0" applyBorder="0" applyAlignment="0" applyProtection="0"/>
    <xf numFmtId="43" fontId="135" fillId="0" borderId="0" applyFont="0" applyFill="0" applyBorder="0" applyAlignment="0" applyProtection="0"/>
    <xf numFmtId="43" fontId="13" fillId="0" borderId="0" applyFont="0" applyFill="0" applyBorder="0" applyAlignment="0" applyProtection="0"/>
    <xf numFmtId="43" fontId="159" fillId="0" borderId="0" applyFont="0" applyFill="0" applyBorder="0" applyAlignment="0" applyProtection="0"/>
    <xf numFmtId="43" fontId="13" fillId="0" borderId="0" applyFont="0" applyFill="0" applyBorder="0" applyAlignment="0" applyProtection="0"/>
    <xf numFmtId="43" fontId="159" fillId="0" borderId="0" applyFont="0" applyFill="0" applyBorder="0" applyAlignment="0" applyProtection="0"/>
    <xf numFmtId="43" fontId="1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5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5" fillId="0" borderId="0" applyFont="0" applyFill="0" applyBorder="0" applyAlignment="0" applyProtection="0"/>
    <xf numFmtId="44" fontId="13" fillId="0" borderId="0" applyFont="0" applyFill="0" applyBorder="0" applyAlignment="0" applyProtection="0"/>
    <xf numFmtId="44" fontId="15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59" fillId="0" borderId="0" applyFont="0" applyFill="0" applyBorder="0" applyAlignment="0" applyProtection="0"/>
    <xf numFmtId="44" fontId="13" fillId="0" borderId="0" applyFont="0" applyFill="0" applyBorder="0" applyAlignment="0" applyProtection="0"/>
    <xf numFmtId="44" fontId="135" fillId="0" borderId="0" applyFont="0" applyFill="0" applyBorder="0" applyAlignment="0" applyProtection="0"/>
    <xf numFmtId="44" fontId="13" fillId="0" borderId="0" applyFont="0" applyFill="0" applyBorder="0" applyAlignment="0" applyProtection="0"/>
    <xf numFmtId="44" fontId="159" fillId="0" borderId="0" applyFont="0" applyFill="0" applyBorder="0" applyAlignment="0" applyProtection="0"/>
    <xf numFmtId="44" fontId="15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30" fillId="0" borderId="0"/>
    <xf numFmtId="3" fontId="13" fillId="0" borderId="0"/>
    <xf numFmtId="3" fontId="13" fillId="0" borderId="0"/>
    <xf numFmtId="3" fontId="130" fillId="0" borderId="0"/>
    <xf numFmtId="0" fontId="13" fillId="0" borderId="0"/>
    <xf numFmtId="0" fontId="13" fillId="0" borderId="0"/>
    <xf numFmtId="3" fontId="13" fillId="0" borderId="0"/>
    <xf numFmtId="3" fontId="130" fillId="0" borderId="0"/>
    <xf numFmtId="3" fontId="13" fillId="0" borderId="0"/>
    <xf numFmtId="0" fontId="159" fillId="0" borderId="0"/>
    <xf numFmtId="3" fontId="130" fillId="0" borderId="0"/>
    <xf numFmtId="3" fontId="13" fillId="0" borderId="0"/>
    <xf numFmtId="3" fontId="130" fillId="0" borderId="0"/>
    <xf numFmtId="3" fontId="13" fillId="0" borderId="0"/>
    <xf numFmtId="0" fontId="13" fillId="0" borderId="0"/>
    <xf numFmtId="3" fontId="130" fillId="0" borderId="0"/>
    <xf numFmtId="3" fontId="13" fillId="0" borderId="0"/>
    <xf numFmtId="3" fontId="130" fillId="0" borderId="0"/>
    <xf numFmtId="3" fontId="13" fillId="0" borderId="0"/>
    <xf numFmtId="3" fontId="130" fillId="0" borderId="0"/>
    <xf numFmtId="3" fontId="13" fillId="0" borderId="0"/>
    <xf numFmtId="3" fontId="131" fillId="0" borderId="0"/>
    <xf numFmtId="3" fontId="13" fillId="0" borderId="0"/>
    <xf numFmtId="0" fontId="13" fillId="0" borderId="0"/>
    <xf numFmtId="0" fontId="129" fillId="0" borderId="0"/>
    <xf numFmtId="0" fontId="160" fillId="0" borderId="0"/>
    <xf numFmtId="0" fontId="13" fillId="0" borderId="0"/>
    <xf numFmtId="0" fontId="13" fillId="0" borderId="0"/>
    <xf numFmtId="0" fontId="160" fillId="0" borderId="0"/>
    <xf numFmtId="0" fontId="13" fillId="0" borderId="0"/>
    <xf numFmtId="0"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 fillId="0" borderId="0"/>
    <xf numFmtId="3" fontId="138" fillId="0" borderId="0"/>
    <xf numFmtId="3" fontId="13" fillId="0" borderId="0"/>
    <xf numFmtId="3" fontId="138" fillId="0" borderId="0"/>
    <xf numFmtId="3" fontId="13" fillId="0" borderId="0"/>
    <xf numFmtId="0" fontId="13" fillId="0" borderId="0"/>
    <xf numFmtId="0" fontId="13" fillId="0" borderId="0"/>
    <xf numFmtId="3" fontId="13" fillId="0" borderId="0"/>
    <xf numFmtId="0" fontId="13" fillId="0" borderId="0"/>
    <xf numFmtId="0" fontId="13" fillId="0" borderId="0"/>
    <xf numFmtId="0" fontId="3" fillId="0" borderId="0"/>
    <xf numFmtId="0" fontId="13" fillId="0" borderId="0"/>
    <xf numFmtId="0" fontId="156" fillId="0" borderId="0"/>
    <xf numFmtId="0" fontId="13" fillId="0" borderId="0"/>
    <xf numFmtId="0" fontId="130" fillId="0" borderId="0"/>
    <xf numFmtId="0" fontId="13" fillId="0" borderId="0"/>
    <xf numFmtId="0" fontId="13" fillId="0" borderId="0"/>
    <xf numFmtId="0" fontId="131" fillId="0" borderId="0"/>
    <xf numFmtId="0" fontId="13" fillId="0" borderId="0"/>
    <xf numFmtId="0" fontId="13" fillId="0" borderId="0"/>
    <xf numFmtId="0" fontId="13" fillId="0" borderId="0"/>
    <xf numFmtId="0" fontId="135" fillId="0" borderId="0"/>
    <xf numFmtId="0" fontId="13" fillId="0" borderId="0"/>
    <xf numFmtId="0" fontId="138" fillId="0" borderId="0"/>
    <xf numFmtId="0" fontId="13" fillId="0" borderId="0"/>
    <xf numFmtId="0" fontId="155" fillId="0" borderId="0"/>
    <xf numFmtId="0" fontId="13" fillId="0" borderId="0"/>
    <xf numFmtId="0" fontId="13" fillId="0" borderId="0"/>
    <xf numFmtId="0" fontId="13" fillId="0" borderId="0"/>
    <xf numFmtId="0" fontId="13" fillId="0" borderId="0"/>
    <xf numFmtId="3" fontId="123" fillId="0" borderId="0"/>
    <xf numFmtId="3" fontId="13" fillId="0" borderId="0"/>
    <xf numFmtId="0" fontId="13" fillId="0" borderId="0"/>
    <xf numFmtId="3" fontId="13" fillId="0" borderId="0"/>
    <xf numFmtId="0" fontId="13" fillId="0" borderId="0"/>
    <xf numFmtId="0" fontId="159" fillId="0" borderId="0"/>
    <xf numFmtId="0" fontId="130" fillId="0" borderId="0"/>
    <xf numFmtId="0" fontId="13" fillId="0" borderId="0"/>
    <xf numFmtId="0" fontId="13" fillId="0" borderId="0"/>
    <xf numFmtId="0" fontId="131" fillId="0" borderId="0"/>
    <xf numFmtId="0" fontId="13" fillId="0" borderId="0"/>
    <xf numFmtId="0" fontId="138" fillId="0" borderId="0"/>
    <xf numFmtId="0" fontId="13" fillId="0" borderId="0"/>
    <xf numFmtId="0" fontId="159" fillId="0" borderId="0"/>
    <xf numFmtId="0" fontId="13" fillId="0" borderId="0"/>
    <xf numFmtId="0" fontId="159" fillId="0" borderId="0"/>
    <xf numFmtId="0" fontId="13" fillId="0" borderId="0"/>
    <xf numFmtId="0" fontId="159" fillId="0" borderId="0"/>
    <xf numFmtId="0" fontId="13" fillId="0" borderId="0"/>
    <xf numFmtId="0" fontId="4" fillId="0" borderId="0" applyProtection="0"/>
    <xf numFmtId="0" fontId="3" fillId="0" borderId="0"/>
    <xf numFmtId="0" fontId="131" fillId="0" borderId="0"/>
    <xf numFmtId="0" fontId="13" fillId="0" borderId="0"/>
    <xf numFmtId="0" fontId="13" fillId="0" borderId="0"/>
    <xf numFmtId="0" fontId="135" fillId="0" borderId="0"/>
    <xf numFmtId="0" fontId="13" fillId="0" borderId="0"/>
    <xf numFmtId="172" fontId="4" fillId="0" borderId="0" applyProtection="0"/>
    <xf numFmtId="0" fontId="3" fillId="0" borderId="0"/>
    <xf numFmtId="0" fontId="155" fillId="0" borderId="0"/>
    <xf numFmtId="0" fontId="13" fillId="0" borderId="0"/>
    <xf numFmtId="172" fontId="4" fillId="0" borderId="0" applyProtection="0"/>
    <xf numFmtId="0" fontId="71" fillId="0" borderId="0"/>
    <xf numFmtId="0" fontId="4" fillId="0" borderId="0"/>
    <xf numFmtId="0" fontId="13" fillId="0" borderId="0"/>
    <xf numFmtId="0" fontId="3"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5" fillId="0" borderId="0" applyFont="0" applyFill="0" applyBorder="0" applyAlignment="0" applyProtection="0"/>
    <xf numFmtId="9" fontId="13" fillId="0" borderId="0" applyFont="0" applyFill="0" applyBorder="0" applyAlignment="0" applyProtection="0"/>
    <xf numFmtId="9" fontId="15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5" fillId="0" borderId="0" applyFont="0" applyFill="0" applyBorder="0" applyAlignment="0" applyProtection="0"/>
    <xf numFmtId="9" fontId="13" fillId="0" borderId="0" applyFont="0" applyFill="0" applyBorder="0" applyAlignment="0" applyProtection="0"/>
    <xf numFmtId="9" fontId="159" fillId="0" borderId="0" applyFont="0" applyFill="0" applyBorder="0" applyAlignment="0" applyProtection="0"/>
    <xf numFmtId="9" fontId="14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72" fontId="4" fillId="0" borderId="0" applyProtection="0"/>
    <xf numFmtId="172" fontId="4" fillId="0" borderId="0" applyProtection="0"/>
    <xf numFmtId="43" fontId="4" fillId="0" borderId="0" applyFont="0" applyFill="0" applyBorder="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4" fillId="0" borderId="0"/>
    <xf numFmtId="44" fontId="6" fillId="0" borderId="0" applyFont="0" applyFill="0" applyBorder="0" applyAlignment="0" applyProtection="0"/>
    <xf numFmtId="0" fontId="1" fillId="0" borderId="0"/>
    <xf numFmtId="0" fontId="6" fillId="0" borderId="0"/>
    <xf numFmtId="0" fontId="3" fillId="0" borderId="0"/>
    <xf numFmtId="0" fontId="6" fillId="0" borderId="0"/>
    <xf numFmtId="0" fontId="1" fillId="0" borderId="0"/>
    <xf numFmtId="0" fontId="4" fillId="0" borderId="0"/>
    <xf numFmtId="0" fontId="1" fillId="0" borderId="0"/>
    <xf numFmtId="0" fontId="1" fillId="0" borderId="0"/>
    <xf numFmtId="0" fontId="4" fillId="0" borderId="0"/>
    <xf numFmtId="43" fontId="1"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3" fillId="0" borderId="0"/>
  </cellStyleXfs>
  <cellXfs count="1349">
    <xf numFmtId="0" fontId="0" fillId="0" borderId="0" xfId="0"/>
    <xf numFmtId="0" fontId="0" fillId="0" borderId="0" xfId="0" applyAlignment="1">
      <alignment horizontal="center"/>
    </xf>
    <xf numFmtId="3" fontId="6" fillId="0" borderId="0" xfId="0" applyNumberFormat="1" applyFont="1" applyAlignment="1">
      <alignment horizontal="center"/>
    </xf>
    <xf numFmtId="0" fontId="13" fillId="0" borderId="0" xfId="0" applyFont="1"/>
    <xf numFmtId="0" fontId="10" fillId="0" borderId="0" xfId="276" applyFont="1" applyAlignment="1">
      <alignment horizontal="center"/>
    </xf>
    <xf numFmtId="0" fontId="16" fillId="0" borderId="0" xfId="276" applyFont="1"/>
    <xf numFmtId="9" fontId="10" fillId="0" borderId="0" xfId="276" quotePrefix="1" applyNumberFormat="1" applyFont="1" applyAlignment="1">
      <alignment horizontal="center"/>
    </xf>
    <xf numFmtId="0" fontId="18" fillId="0" borderId="0" xfId="276" applyFont="1" applyAlignment="1">
      <alignment horizontal="right"/>
    </xf>
    <xf numFmtId="0" fontId="18" fillId="0" borderId="0" xfId="276" applyFont="1" applyAlignment="1">
      <alignment horizontal="center"/>
    </xf>
    <xf numFmtId="9" fontId="10" fillId="0" borderId="0" xfId="276" applyNumberFormat="1" applyFont="1" applyAlignment="1">
      <alignment horizontal="center"/>
    </xf>
    <xf numFmtId="0" fontId="19" fillId="0" borderId="0" xfId="0" applyFont="1" applyAlignment="1">
      <alignment horizontal="right"/>
    </xf>
    <xf numFmtId="0" fontId="6" fillId="0" borderId="0" xfId="0" applyFont="1"/>
    <xf numFmtId="0" fontId="0" fillId="0" borderId="0" xfId="0" applyAlignment="1">
      <alignment wrapText="1"/>
    </xf>
    <xf numFmtId="0" fontId="5" fillId="0" borderId="0" xfId="0" applyFont="1"/>
    <xf numFmtId="0" fontId="19" fillId="0" borderId="0" xfId="0" applyFont="1"/>
    <xf numFmtId="0" fontId="13" fillId="0" borderId="0" xfId="276" applyFont="1"/>
    <xf numFmtId="41" fontId="13" fillId="0" borderId="0" xfId="276" applyNumberFormat="1" applyFont="1"/>
    <xf numFmtId="0" fontId="16" fillId="0" borderId="0" xfId="276" applyFont="1" applyAlignment="1">
      <alignment horizontal="left"/>
    </xf>
    <xf numFmtId="3" fontId="13" fillId="0" borderId="0" xfId="0" applyNumberFormat="1" applyFont="1"/>
    <xf numFmtId="0" fontId="6" fillId="0" borderId="0" xfId="276" applyFont="1" applyAlignment="1">
      <alignment horizontal="right"/>
    </xf>
    <xf numFmtId="40" fontId="13" fillId="0" borderId="0" xfId="0" applyNumberFormat="1" applyFont="1"/>
    <xf numFmtId="0" fontId="6" fillId="0" borderId="0" xfId="276" applyFont="1"/>
    <xf numFmtId="0" fontId="10" fillId="0" borderId="0" xfId="276" applyFont="1" applyAlignment="1">
      <alignment horizontal="left"/>
    </xf>
    <xf numFmtId="0" fontId="10" fillId="0" borderId="0" xfId="276" applyFont="1"/>
    <xf numFmtId="0" fontId="13" fillId="0" borderId="0" xfId="276" applyFont="1" applyAlignment="1">
      <alignment horizontal="left"/>
    </xf>
    <xf numFmtId="0" fontId="7" fillId="0" borderId="0" xfId="276" applyFont="1" applyAlignment="1">
      <alignment horizontal="center"/>
    </xf>
    <xf numFmtId="37" fontId="6" fillId="0" borderId="0" xfId="0" applyNumberFormat="1" applyFont="1"/>
    <xf numFmtId="0" fontId="27" fillId="0" borderId="0" xfId="0" applyFont="1"/>
    <xf numFmtId="0" fontId="6" fillId="0" borderId="0" xfId="0" applyFont="1" applyAlignment="1">
      <alignment horizontal="center"/>
    </xf>
    <xf numFmtId="37" fontId="6" fillId="0" borderId="0" xfId="0" applyNumberFormat="1" applyFont="1" applyAlignment="1">
      <alignment horizontal="center"/>
    </xf>
    <xf numFmtId="10" fontId="6" fillId="0" borderId="0" xfId="0" applyNumberFormat="1" applyFont="1"/>
    <xf numFmtId="3" fontId="20" fillId="0" borderId="0" xfId="0" applyNumberFormat="1" applyFont="1"/>
    <xf numFmtId="41" fontId="28" fillId="0" borderId="0" xfId="276" applyNumberFormat="1" applyFont="1"/>
    <xf numFmtId="0" fontId="29" fillId="0" borderId="0" xfId="276" applyFont="1" applyAlignment="1">
      <alignment horizontal="left"/>
    </xf>
    <xf numFmtId="0" fontId="27" fillId="0" borderId="0" xfId="276" applyFont="1"/>
    <xf numFmtId="41" fontId="27" fillId="0" borderId="0" xfId="276" applyNumberFormat="1" applyFont="1"/>
    <xf numFmtId="0" fontId="27" fillId="0" borderId="0" xfId="276" applyFont="1" applyAlignment="1">
      <alignment horizontal="left"/>
    </xf>
    <xf numFmtId="0" fontId="30" fillId="0" borderId="0" xfId="276" applyFont="1"/>
    <xf numFmtId="0" fontId="27" fillId="0" borderId="0" xfId="276" applyFont="1" applyAlignment="1">
      <alignment horizontal="center"/>
    </xf>
    <xf numFmtId="0" fontId="11" fillId="0" borderId="0" xfId="276" applyFont="1" applyAlignment="1">
      <alignment horizontal="center"/>
    </xf>
    <xf numFmtId="173" fontId="27" fillId="0" borderId="0" xfId="276" applyNumberFormat="1" applyFont="1"/>
    <xf numFmtId="173" fontId="27" fillId="0" borderId="0" xfId="276" applyNumberFormat="1" applyFont="1" applyAlignment="1">
      <alignment vertical="top"/>
    </xf>
    <xf numFmtId="41" fontId="27" fillId="0" borderId="13" xfId="276" applyNumberFormat="1" applyFont="1" applyBorder="1"/>
    <xf numFmtId="173" fontId="7" fillId="0" borderId="0" xfId="86" applyNumberFormat="1" applyFont="1" applyFill="1" applyAlignment="1">
      <alignment horizontal="center"/>
    </xf>
    <xf numFmtId="0" fontId="6" fillId="0" borderId="0" xfId="276" applyFont="1" applyAlignment="1">
      <alignment horizontal="center"/>
    </xf>
    <xf numFmtId="0" fontId="31" fillId="0" borderId="0" xfId="276" applyFont="1"/>
    <xf numFmtId="41" fontId="6" fillId="0" borderId="13" xfId="276" applyNumberFormat="1" applyFont="1" applyBorder="1"/>
    <xf numFmtId="38" fontId="13" fillId="0" borderId="0" xfId="0" applyNumberFormat="1" applyFont="1"/>
    <xf numFmtId="43" fontId="6" fillId="0" borderId="0" xfId="276" applyNumberFormat="1" applyFont="1"/>
    <xf numFmtId="3" fontId="6" fillId="0" borderId="0" xfId="0" applyNumberFormat="1" applyFont="1"/>
    <xf numFmtId="41" fontId="28" fillId="25" borderId="0" xfId="276" applyNumberFormat="1" applyFont="1" applyFill="1"/>
    <xf numFmtId="0" fontId="8" fillId="0" borderId="0" xfId="232" applyFont="1" applyAlignment="1">
      <alignment horizontal="left"/>
    </xf>
    <xf numFmtId="0" fontId="13" fillId="0" borderId="0" xfId="232"/>
    <xf numFmtId="0" fontId="13" fillId="0" borderId="0" xfId="232" applyAlignment="1">
      <alignment horizontal="center"/>
    </xf>
    <xf numFmtId="0" fontId="13" fillId="0" borderId="0" xfId="232" applyAlignment="1">
      <alignment horizontal="left"/>
    </xf>
    <xf numFmtId="0" fontId="10" fillId="0" borderId="0" xfId="232" applyFont="1" applyAlignment="1">
      <alignment horizontal="left"/>
    </xf>
    <xf numFmtId="0" fontId="13" fillId="0" borderId="0" xfId="232" applyAlignment="1">
      <alignment horizontal="center" wrapText="1"/>
    </xf>
    <xf numFmtId="3" fontId="13" fillId="0" borderId="0" xfId="232" applyNumberFormat="1"/>
    <xf numFmtId="173" fontId="13" fillId="0" borderId="0" xfId="91" applyNumberFormat="1" applyFont="1" applyFill="1" applyBorder="1" applyAlignment="1">
      <alignment horizontal="right"/>
    </xf>
    <xf numFmtId="0" fontId="9" fillId="0" borderId="0" xfId="232" applyFont="1"/>
    <xf numFmtId="0" fontId="10" fillId="0" borderId="0" xfId="232" applyFont="1"/>
    <xf numFmtId="0" fontId="10" fillId="0" borderId="0" xfId="232" applyFont="1" applyAlignment="1">
      <alignment horizontal="center"/>
    </xf>
    <xf numFmtId="164" fontId="13" fillId="0" borderId="0" xfId="299" applyNumberFormat="1" applyFont="1" applyFill="1" applyBorder="1" applyAlignment="1"/>
    <xf numFmtId="173" fontId="13" fillId="0" borderId="0" xfId="91" applyNumberFormat="1" applyFont="1" applyFill="1" applyBorder="1" applyAlignment="1">
      <alignment horizontal="left"/>
    </xf>
    <xf numFmtId="3" fontId="13" fillId="0" borderId="0" xfId="232" applyNumberFormat="1" applyAlignment="1">
      <alignment horizontal="right"/>
    </xf>
    <xf numFmtId="3" fontId="13" fillId="0" borderId="0" xfId="232" applyNumberFormat="1" applyAlignment="1">
      <alignment horizontal="center"/>
    </xf>
    <xf numFmtId="0" fontId="0" fillId="0" borderId="0" xfId="0" applyAlignment="1">
      <alignment horizontal="center" wrapText="1"/>
    </xf>
    <xf numFmtId="0" fontId="33" fillId="0" borderId="0" xfId="0" applyFont="1"/>
    <xf numFmtId="0" fontId="20" fillId="0" borderId="0" xfId="276" applyFont="1"/>
    <xf numFmtId="0" fontId="18" fillId="0" borderId="0" xfId="232" applyFont="1" applyAlignment="1">
      <alignment horizontal="left"/>
    </xf>
    <xf numFmtId="173" fontId="13" fillId="0" borderId="14" xfId="91" applyNumberFormat="1" applyFont="1" applyFill="1" applyBorder="1" applyAlignment="1">
      <alignment horizontal="right"/>
    </xf>
    <xf numFmtId="0" fontId="13" fillId="0" borderId="0" xfId="276" applyFont="1" applyAlignment="1">
      <alignment horizontal="center"/>
    </xf>
    <xf numFmtId="0" fontId="6" fillId="0" borderId="0" xfId="232" applyFont="1" applyAlignment="1">
      <alignment horizontal="center"/>
    </xf>
    <xf numFmtId="49" fontId="6" fillId="0" borderId="0" xfId="276" applyNumberFormat="1" applyFont="1" applyAlignment="1">
      <alignment horizontal="center"/>
    </xf>
    <xf numFmtId="3" fontId="11" fillId="0" borderId="0" xfId="0" applyNumberFormat="1" applyFont="1" applyAlignment="1">
      <alignment horizontal="center"/>
    </xf>
    <xf numFmtId="173" fontId="3" fillId="0" borderId="0" xfId="86" applyNumberFormat="1"/>
    <xf numFmtId="0" fontId="13" fillId="0" borderId="0" xfId="0" applyFont="1" applyAlignment="1">
      <alignment horizontal="center"/>
    </xf>
    <xf numFmtId="173" fontId="13" fillId="0" borderId="0" xfId="86" applyNumberFormat="1" applyFont="1"/>
    <xf numFmtId="10" fontId="13" fillId="0" borderId="0" xfId="0" applyNumberFormat="1" applyFont="1"/>
    <xf numFmtId="173" fontId="3" fillId="0" borderId="0" xfId="86" applyNumberFormat="1" applyFill="1"/>
    <xf numFmtId="10" fontId="0" fillId="0" borderId="0" xfId="0" applyNumberFormat="1"/>
    <xf numFmtId="184" fontId="19" fillId="0" borderId="0" xfId="287" applyNumberFormat="1" applyFont="1"/>
    <xf numFmtId="0" fontId="72" fillId="0" borderId="0" xfId="287" applyFont="1"/>
    <xf numFmtId="184" fontId="19" fillId="0" borderId="0" xfId="287" applyNumberFormat="1" applyFont="1" applyAlignment="1">
      <alignment horizontal="center"/>
    </xf>
    <xf numFmtId="0" fontId="13" fillId="0" borderId="0" xfId="287" applyFont="1"/>
    <xf numFmtId="0" fontId="19" fillId="0" borderId="0" xfId="287" applyFont="1"/>
    <xf numFmtId="0" fontId="19" fillId="0" borderId="0" xfId="287" applyFont="1" applyAlignment="1">
      <alignment horizontal="center"/>
    </xf>
    <xf numFmtId="184" fontId="73" fillId="0" borderId="0" xfId="287" applyNumberFormat="1" applyFont="1"/>
    <xf numFmtId="0" fontId="74" fillId="0" borderId="0" xfId="287" applyFont="1"/>
    <xf numFmtId="173" fontId="72" fillId="0" borderId="0" xfId="287" applyNumberFormat="1" applyFont="1"/>
    <xf numFmtId="0" fontId="75" fillId="0" borderId="0" xfId="287" applyFont="1"/>
    <xf numFmtId="184" fontId="13" fillId="0" borderId="0" xfId="287" applyNumberFormat="1" applyFont="1"/>
    <xf numFmtId="0" fontId="76" fillId="0" borderId="0" xfId="283" applyFont="1" applyAlignment="1">
      <alignment horizontal="center"/>
    </xf>
    <xf numFmtId="0" fontId="76" fillId="0" borderId="0" xfId="283" applyFont="1" applyAlignment="1">
      <alignment horizontal="left" indent="2"/>
    </xf>
    <xf numFmtId="39" fontId="76" fillId="0" borderId="0" xfId="283" applyNumberFormat="1" applyFont="1"/>
    <xf numFmtId="0" fontId="13" fillId="0" borderId="0" xfId="287" applyFont="1" applyAlignment="1">
      <alignment horizontal="center"/>
    </xf>
    <xf numFmtId="43" fontId="72" fillId="0" borderId="0" xfId="86" applyFont="1"/>
    <xf numFmtId="173" fontId="77" fillId="0" borderId="0" xfId="287" applyNumberFormat="1" applyFont="1"/>
    <xf numFmtId="184" fontId="6" fillId="0" borderId="0" xfId="287" applyNumberFormat="1" applyFont="1"/>
    <xf numFmtId="43" fontId="77" fillId="0" borderId="0" xfId="86" applyFont="1"/>
    <xf numFmtId="43" fontId="6" fillId="0" borderId="0" xfId="86" applyFont="1"/>
    <xf numFmtId="173" fontId="77" fillId="0" borderId="0" xfId="86" applyNumberFormat="1" applyFont="1"/>
    <xf numFmtId="173" fontId="6" fillId="0" borderId="0" xfId="86" applyNumberFormat="1" applyFont="1"/>
    <xf numFmtId="173" fontId="72" fillId="0" borderId="14" xfId="86" applyNumberFormat="1" applyFont="1" applyBorder="1"/>
    <xf numFmtId="0" fontId="72" fillId="0" borderId="0" xfId="0" applyFont="1"/>
    <xf numFmtId="0" fontId="80" fillId="0" borderId="0" xfId="287" applyFont="1" applyAlignment="1">
      <alignment horizontal="center"/>
    </xf>
    <xf numFmtId="173" fontId="0" fillId="0" borderId="0" xfId="86" applyNumberFormat="1" applyFont="1" applyFill="1"/>
    <xf numFmtId="173" fontId="0" fillId="0" borderId="0" xfId="0" applyNumberFormat="1"/>
    <xf numFmtId="173" fontId="13" fillId="0" borderId="0" xfId="86" applyNumberFormat="1" applyFont="1" applyFill="1"/>
    <xf numFmtId="0" fontId="10" fillId="0" borderId="0" xfId="276" applyFont="1" applyAlignment="1">
      <alignment horizontal="center" wrapText="1"/>
    </xf>
    <xf numFmtId="38" fontId="13" fillId="0" borderId="0" xfId="0" applyNumberFormat="1" applyFont="1" applyAlignment="1">
      <alignment horizontal="center"/>
    </xf>
    <xf numFmtId="0" fontId="3" fillId="0" borderId="0" xfId="276" applyAlignment="1">
      <alignment horizontal="left"/>
    </xf>
    <xf numFmtId="0" fontId="81" fillId="0" borderId="0" xfId="276" applyFont="1" applyAlignment="1">
      <alignment horizontal="left"/>
    </xf>
    <xf numFmtId="0" fontId="3" fillId="0" borderId="0" xfId="276"/>
    <xf numFmtId="0" fontId="81" fillId="0" borderId="0" xfId="276" applyFont="1"/>
    <xf numFmtId="0" fontId="70" fillId="0" borderId="0" xfId="276" applyFont="1" applyAlignment="1">
      <alignment horizontal="center"/>
    </xf>
    <xf numFmtId="38" fontId="13" fillId="0" borderId="15" xfId="0" applyNumberFormat="1" applyFont="1" applyBorder="1"/>
    <xf numFmtId="0" fontId="82" fillId="0" borderId="0" xfId="232" applyFont="1" applyAlignment="1">
      <alignment horizontal="left"/>
    </xf>
    <xf numFmtId="38" fontId="13" fillId="0" borderId="0" xfId="232" applyNumberFormat="1" applyAlignment="1">
      <alignment horizontal="right"/>
    </xf>
    <xf numFmtId="0" fontId="13" fillId="0" borderId="0" xfId="232" applyAlignment="1">
      <alignment horizontal="right"/>
    </xf>
    <xf numFmtId="38" fontId="13" fillId="0" borderId="0" xfId="0" applyNumberFormat="1" applyFont="1" applyAlignment="1">
      <alignment horizontal="right"/>
    </xf>
    <xf numFmtId="0" fontId="5" fillId="0" borderId="0" xfId="0" applyFont="1" applyAlignment="1">
      <alignment horizontal="center"/>
    </xf>
    <xf numFmtId="0" fontId="5" fillId="0" borderId="0" xfId="232" applyFont="1" applyAlignment="1">
      <alignment horizontal="center"/>
    </xf>
    <xf numFmtId="38" fontId="9" fillId="0" borderId="0" xfId="232" applyNumberFormat="1" applyFont="1"/>
    <xf numFmtId="173" fontId="9" fillId="0" borderId="14" xfId="86" applyNumberFormat="1" applyFont="1" applyFill="1" applyBorder="1" applyAlignment="1"/>
    <xf numFmtId="0" fontId="13" fillId="0" borderId="14" xfId="232" applyBorder="1" applyAlignment="1">
      <alignment horizontal="left"/>
    </xf>
    <xf numFmtId="41" fontId="72" fillId="0" borderId="0" xfId="287" applyNumberFormat="1" applyFont="1"/>
    <xf numFmtId="173" fontId="72" fillId="0" borderId="0" xfId="86" applyNumberFormat="1" applyFont="1" applyFill="1"/>
    <xf numFmtId="3" fontId="5" fillId="0" borderId="0" xfId="0" applyNumberFormat="1" applyFont="1" applyAlignment="1">
      <alignment horizontal="center"/>
    </xf>
    <xf numFmtId="10" fontId="13" fillId="0" borderId="0" xfId="295" applyNumberFormat="1" applyFont="1" applyAlignment="1">
      <alignment horizontal="right"/>
    </xf>
    <xf numFmtId="0" fontId="10" fillId="0" borderId="0" xfId="0" applyFont="1" applyAlignment="1">
      <alignment horizontal="center" wrapText="1"/>
    </xf>
    <xf numFmtId="0" fontId="10" fillId="0" borderId="0" xfId="0" applyFont="1" applyAlignment="1">
      <alignment wrapText="1"/>
    </xf>
    <xf numFmtId="10" fontId="9" fillId="0" borderId="0" xfId="295" applyNumberFormat="1" applyFont="1"/>
    <xf numFmtId="174" fontId="3" fillId="0" borderId="0" xfId="127" applyNumberFormat="1"/>
    <xf numFmtId="0" fontId="5" fillId="0" borderId="0" xfId="0" applyFont="1" applyAlignment="1">
      <alignment horizontal="right"/>
    </xf>
    <xf numFmtId="0" fontId="13" fillId="0" borderId="0" xfId="0" applyFont="1" applyAlignment="1">
      <alignment horizontal="centerContinuous"/>
    </xf>
    <xf numFmtId="0" fontId="10" fillId="0" borderId="0" xfId="0" applyFont="1" applyAlignment="1">
      <alignment horizontal="center"/>
    </xf>
    <xf numFmtId="173" fontId="0" fillId="0" borderId="0" xfId="86" applyNumberFormat="1" applyFont="1"/>
    <xf numFmtId="173" fontId="13" fillId="0" borderId="0" xfId="232" applyNumberFormat="1"/>
    <xf numFmtId="0" fontId="13" fillId="25" borderId="0" xfId="232" applyFill="1" applyAlignment="1">
      <alignment horizontal="center"/>
    </xf>
    <xf numFmtId="0" fontId="10" fillId="25" borderId="0" xfId="232" applyFont="1" applyFill="1" applyAlignment="1">
      <alignment horizontal="left"/>
    </xf>
    <xf numFmtId="0" fontId="9" fillId="25" borderId="0" xfId="232" applyFont="1" applyFill="1"/>
    <xf numFmtId="0" fontId="13" fillId="25" borderId="0" xfId="232" applyFill="1" applyAlignment="1">
      <alignment horizontal="left"/>
    </xf>
    <xf numFmtId="0" fontId="13" fillId="25" borderId="0" xfId="232" applyFill="1"/>
    <xf numFmtId="173" fontId="13" fillId="25" borderId="0" xfId="91" applyNumberFormat="1" applyFont="1" applyFill="1" applyBorder="1" applyAlignment="1">
      <alignment horizontal="right"/>
    </xf>
    <xf numFmtId="0" fontId="0" fillId="25" borderId="0" xfId="0" applyFill="1"/>
    <xf numFmtId="164" fontId="13" fillId="25" borderId="0" xfId="299" applyNumberFormat="1" applyFont="1" applyFill="1" applyBorder="1" applyAlignment="1"/>
    <xf numFmtId="173" fontId="13" fillId="25" borderId="0" xfId="91" applyNumberFormat="1" applyFont="1" applyFill="1" applyBorder="1" applyAlignment="1">
      <alignment horizontal="left"/>
    </xf>
    <xf numFmtId="0" fontId="14" fillId="0" borderId="0" xfId="0" applyFont="1"/>
    <xf numFmtId="0" fontId="18" fillId="0" borderId="0" xfId="232" applyFont="1" applyAlignment="1">
      <alignment horizontal="center"/>
    </xf>
    <xf numFmtId="0" fontId="14" fillId="0" borderId="0" xfId="232" applyFont="1" applyAlignment="1">
      <alignment horizontal="left"/>
    </xf>
    <xf numFmtId="173" fontId="14" fillId="0" borderId="0" xfId="91" applyNumberFormat="1" applyFont="1" applyFill="1" applyBorder="1" applyAlignment="1">
      <alignment horizontal="right"/>
    </xf>
    <xf numFmtId="0" fontId="15" fillId="0" borderId="0" xfId="276" applyFont="1"/>
    <xf numFmtId="0" fontId="84" fillId="0" borderId="0" xfId="276" applyFont="1"/>
    <xf numFmtId="9" fontId="11" fillId="0" borderId="0" xfId="276" quotePrefix="1" applyNumberFormat="1" applyFont="1" applyAlignment="1">
      <alignment horizontal="center"/>
    </xf>
    <xf numFmtId="0" fontId="5" fillId="0" borderId="0" xfId="287" applyFont="1" applyAlignment="1">
      <alignment horizontal="center"/>
    </xf>
    <xf numFmtId="0" fontId="5" fillId="0" borderId="0" xfId="287" applyFont="1"/>
    <xf numFmtId="184" fontId="5" fillId="0" borderId="0" xfId="287" applyNumberFormat="1" applyFont="1" applyAlignment="1">
      <alignment horizontal="center"/>
    </xf>
    <xf numFmtId="0" fontId="10" fillId="0" borderId="0" xfId="287" applyFont="1"/>
    <xf numFmtId="0" fontId="5" fillId="0" borderId="11" xfId="287" applyFont="1" applyBorder="1" applyAlignment="1">
      <alignment horizontal="center"/>
    </xf>
    <xf numFmtId="184" fontId="5" fillId="0" borderId="11" xfId="287" applyNumberFormat="1" applyFont="1" applyBorder="1" applyAlignment="1">
      <alignment horizontal="center"/>
    </xf>
    <xf numFmtId="0" fontId="75" fillId="0" borderId="11" xfId="287" applyFont="1" applyBorder="1" applyAlignment="1">
      <alignment horizontal="center"/>
    </xf>
    <xf numFmtId="0" fontId="10" fillId="0" borderId="0" xfId="287" applyFont="1" applyAlignment="1">
      <alignment horizontal="center"/>
    </xf>
    <xf numFmtId="0" fontId="85" fillId="0" borderId="0" xfId="287" applyFont="1"/>
    <xf numFmtId="0" fontId="10" fillId="0" borderId="0" xfId="0" applyFont="1" applyAlignment="1">
      <alignment horizontal="left"/>
    </xf>
    <xf numFmtId="173" fontId="87" fillId="0" borderId="0" xfId="86" applyNumberFormat="1" applyFont="1" applyFill="1"/>
    <xf numFmtId="173" fontId="72" fillId="0" borderId="0" xfId="86" applyNumberFormat="1" applyFont="1" applyFill="1" applyBorder="1"/>
    <xf numFmtId="41" fontId="88" fillId="26" borderId="0" xfId="287" applyNumberFormat="1" applyFont="1" applyFill="1"/>
    <xf numFmtId="0" fontId="92" fillId="0" borderId="0" xfId="0" applyFont="1" applyAlignment="1">
      <alignment horizontal="center"/>
    </xf>
    <xf numFmtId="0" fontId="91" fillId="0" borderId="0" xfId="276" applyFont="1" applyAlignment="1">
      <alignment horizontal="center"/>
    </xf>
    <xf numFmtId="0" fontId="6" fillId="0" borderId="0" xfId="287" applyFont="1"/>
    <xf numFmtId="173" fontId="6" fillId="0" borderId="0" xfId="287" applyNumberFormat="1" applyFont="1"/>
    <xf numFmtId="164" fontId="0" fillId="0" borderId="0" xfId="295" applyNumberFormat="1" applyFont="1"/>
    <xf numFmtId="173" fontId="95" fillId="0" borderId="0" xfId="287" applyNumberFormat="1" applyFont="1"/>
    <xf numFmtId="0" fontId="24" fillId="0" borderId="0" xfId="276" applyFont="1" applyAlignment="1">
      <alignment horizontal="center"/>
    </xf>
    <xf numFmtId="37" fontId="13" fillId="0" borderId="15" xfId="0" applyNumberFormat="1" applyFont="1" applyBorder="1"/>
    <xf numFmtId="37" fontId="13" fillId="0" borderId="0" xfId="232" applyNumberFormat="1" applyAlignment="1">
      <alignment horizontal="right"/>
    </xf>
    <xf numFmtId="37" fontId="9" fillId="0" borderId="0" xfId="232" applyNumberFormat="1" applyFont="1"/>
    <xf numFmtId="0" fontId="98" fillId="0" borderId="0" xfId="276" applyFont="1"/>
    <xf numFmtId="0" fontId="13"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wrapText="1"/>
    </xf>
    <xf numFmtId="173" fontId="0" fillId="0" borderId="14" xfId="0" applyNumberFormat="1" applyBorder="1"/>
    <xf numFmtId="9" fontId="0" fillId="0" borderId="0" xfId="295" applyFont="1"/>
    <xf numFmtId="0" fontId="100" fillId="0" borderId="0" xfId="0" applyFont="1" applyAlignment="1">
      <alignment horizontal="center" wrapText="1"/>
    </xf>
    <xf numFmtId="0" fontId="19" fillId="0" borderId="0" xfId="283" applyFont="1" applyAlignment="1">
      <alignment horizontal="center"/>
    </xf>
    <xf numFmtId="0" fontId="33" fillId="0" borderId="0" xfId="276" applyFont="1" applyAlignment="1">
      <alignment horizontal="left"/>
    </xf>
    <xf numFmtId="0" fontId="33" fillId="0" borderId="0" xfId="276" applyFont="1"/>
    <xf numFmtId="0" fontId="102" fillId="0" borderId="0" xfId="276" applyFont="1" applyAlignment="1">
      <alignment horizontal="center"/>
    </xf>
    <xf numFmtId="0" fontId="103" fillId="0" borderId="0" xfId="276" applyFont="1"/>
    <xf numFmtId="188" fontId="104" fillId="0" borderId="0" xfId="232" applyNumberFormat="1" applyFont="1" applyAlignment="1">
      <alignment horizontal="center"/>
    </xf>
    <xf numFmtId="38" fontId="0" fillId="0" borderId="0" xfId="0" applyNumberFormat="1"/>
    <xf numFmtId="0" fontId="3" fillId="0" borderId="0" xfId="0" applyFont="1"/>
    <xf numFmtId="3" fontId="14" fillId="0" borderId="0" xfId="232" applyNumberFormat="1" applyFont="1" applyAlignment="1">
      <alignment horizontal="center"/>
    </xf>
    <xf numFmtId="0" fontId="105" fillId="0" borderId="0" xfId="287" applyFont="1"/>
    <xf numFmtId="41" fontId="105" fillId="0" borderId="0" xfId="287" applyNumberFormat="1" applyFont="1"/>
    <xf numFmtId="43" fontId="6" fillId="0" borderId="0" xfId="86" applyFont="1" applyAlignment="1">
      <alignment horizontal="center"/>
    </xf>
    <xf numFmtId="43" fontId="6" fillId="0" borderId="0" xfId="86" applyFont="1" applyBorder="1" applyAlignment="1">
      <alignment horizontal="center"/>
    </xf>
    <xf numFmtId="43" fontId="5" fillId="0" borderId="0" xfId="86" applyFont="1" applyBorder="1" applyAlignment="1">
      <alignment horizontal="center"/>
    </xf>
    <xf numFmtId="43" fontId="5" fillId="0" borderId="0" xfId="86" applyFont="1" applyAlignment="1">
      <alignment horizontal="center"/>
    </xf>
    <xf numFmtId="43" fontId="16" fillId="0" borderId="0" xfId="86" applyFont="1"/>
    <xf numFmtId="0" fontId="5" fillId="0" borderId="11" xfId="287" applyFont="1" applyBorder="1"/>
    <xf numFmtId="0" fontId="72" fillId="0" borderId="0" xfId="287" applyFont="1" applyAlignment="1">
      <alignment horizontal="center"/>
    </xf>
    <xf numFmtId="173" fontId="79" fillId="0" borderId="0" xfId="287" applyNumberFormat="1" applyFont="1"/>
    <xf numFmtId="3" fontId="79" fillId="0" borderId="0" xfId="287" applyNumberFormat="1" applyFont="1"/>
    <xf numFmtId="0" fontId="23" fillId="0" borderId="0" xfId="276" applyFont="1"/>
    <xf numFmtId="38" fontId="27" fillId="0" borderId="13" xfId="276" applyNumberFormat="1" applyFont="1" applyBorder="1" applyAlignment="1">
      <alignment horizontal="right"/>
    </xf>
    <xf numFmtId="0" fontId="33" fillId="0" borderId="0" xfId="276" applyFont="1" applyAlignment="1">
      <alignment horizontal="center"/>
    </xf>
    <xf numFmtId="0" fontId="76" fillId="0" borderId="0" xfId="287" applyFont="1"/>
    <xf numFmtId="10" fontId="4" fillId="0" borderId="0" xfId="288" applyNumberFormat="1"/>
    <xf numFmtId="10" fontId="4" fillId="0" borderId="16" xfId="288" applyNumberFormat="1" applyBorder="1"/>
    <xf numFmtId="192" fontId="4" fillId="0" borderId="16" xfId="288" applyNumberFormat="1" applyBorder="1"/>
    <xf numFmtId="176" fontId="4" fillId="0" borderId="16" xfId="288" applyNumberFormat="1" applyBorder="1"/>
    <xf numFmtId="191" fontId="4" fillId="0" borderId="16" xfId="288" applyNumberFormat="1" applyBorder="1"/>
    <xf numFmtId="194" fontId="4" fillId="0" borderId="0" xfId="288" applyNumberFormat="1"/>
    <xf numFmtId="176" fontId="4" fillId="0" borderId="0" xfId="288" applyNumberFormat="1"/>
    <xf numFmtId="10" fontId="118" fillId="0" borderId="0" xfId="288" applyNumberFormat="1" applyFont="1"/>
    <xf numFmtId="173" fontId="121" fillId="0" borderId="0" xfId="0" applyNumberFormat="1" applyFont="1"/>
    <xf numFmtId="0" fontId="108" fillId="0" borderId="0" xfId="232" applyFont="1" applyAlignment="1">
      <alignment horizontal="center"/>
    </xf>
    <xf numFmtId="0" fontId="100" fillId="0" borderId="0" xfId="232" applyFont="1" applyAlignment="1">
      <alignment horizontal="left"/>
    </xf>
    <xf numFmtId="0" fontId="33" fillId="0" borderId="0" xfId="232" applyFont="1" applyAlignment="1">
      <alignment horizontal="center"/>
    </xf>
    <xf numFmtId="0" fontId="33" fillId="0" borderId="0" xfId="232" applyFont="1" applyAlignment="1">
      <alignment horizontal="left"/>
    </xf>
    <xf numFmtId="0" fontId="33" fillId="0" borderId="0" xfId="232" applyFont="1"/>
    <xf numFmtId="3" fontId="33" fillId="0" borderId="0" xfId="232" applyNumberFormat="1" applyFont="1"/>
    <xf numFmtId="0" fontId="108" fillId="0" borderId="0" xfId="232" applyFont="1"/>
    <xf numFmtId="0" fontId="120" fillId="0" borderId="0" xfId="276" applyFont="1" applyAlignment="1">
      <alignment horizontal="center"/>
    </xf>
    <xf numFmtId="0" fontId="100" fillId="0" borderId="0" xfId="0" applyFont="1" applyAlignment="1">
      <alignment horizontal="center"/>
    </xf>
    <xf numFmtId="41" fontId="0" fillId="0" borderId="0" xfId="0" applyNumberFormat="1"/>
    <xf numFmtId="37" fontId="122" fillId="0" borderId="13" xfId="0" applyNumberFormat="1" applyFont="1" applyBorder="1"/>
    <xf numFmtId="0" fontId="27" fillId="0" borderId="0" xfId="0" applyFont="1" applyAlignment="1">
      <alignment horizontal="left"/>
    </xf>
    <xf numFmtId="3" fontId="20" fillId="31" borderId="0" xfId="0" applyNumberFormat="1" applyFont="1" applyFill="1"/>
    <xf numFmtId="173" fontId="79" fillId="31" borderId="0" xfId="287" applyNumberFormat="1" applyFont="1" applyFill="1"/>
    <xf numFmtId="0" fontId="72" fillId="31" borderId="0" xfId="287" applyFont="1" applyFill="1" applyAlignment="1">
      <alignment horizontal="center"/>
    </xf>
    <xf numFmtId="174" fontId="0" fillId="0" borderId="0" xfId="127" applyNumberFormat="1" applyFont="1"/>
    <xf numFmtId="3" fontId="33" fillId="31" borderId="0" xfId="232" applyNumberFormat="1" applyFont="1" applyFill="1"/>
    <xf numFmtId="0" fontId="72" fillId="31" borderId="0" xfId="287" applyFont="1" applyFill="1"/>
    <xf numFmtId="172" fontId="4" fillId="0" borderId="0" xfId="286" applyProtection="1"/>
    <xf numFmtId="172" fontId="6" fillId="0" borderId="0" xfId="286" applyFont="1" applyProtection="1"/>
    <xf numFmtId="0" fontId="7" fillId="0" borderId="0" xfId="286" applyNumberFormat="1" applyFont="1" applyAlignment="1" applyProtection="1">
      <alignment horizontal="left"/>
    </xf>
    <xf numFmtId="14" fontId="7" fillId="0" borderId="0" xfId="286" applyNumberFormat="1" applyFont="1" applyProtection="1"/>
    <xf numFmtId="172" fontId="7" fillId="0" borderId="0" xfId="286" applyFont="1" applyProtection="1"/>
    <xf numFmtId="0" fontId="6" fillId="0" borderId="0" xfId="286" applyNumberFormat="1" applyFont="1" applyProtection="1"/>
    <xf numFmtId="0" fontId="6" fillId="0" borderId="0" xfId="286" applyNumberFormat="1" applyFont="1" applyAlignment="1" applyProtection="1">
      <alignment horizontal="right"/>
    </xf>
    <xf numFmtId="0" fontId="20" fillId="0" borderId="0" xfId="86" applyNumberFormat="1" applyFont="1" applyFill="1" applyAlignment="1" applyProtection="1"/>
    <xf numFmtId="3" fontId="6" fillId="0" borderId="0" xfId="286" applyNumberFormat="1" applyFont="1" applyProtection="1"/>
    <xf numFmtId="0" fontId="4" fillId="0" borderId="0" xfId="286" applyNumberFormat="1" applyAlignment="1" applyProtection="1">
      <alignment horizontal="center"/>
    </xf>
    <xf numFmtId="0" fontId="6" fillId="0" borderId="0" xfId="286" applyNumberFormat="1" applyFont="1" applyAlignment="1" applyProtection="1">
      <alignment horizontal="center"/>
    </xf>
    <xf numFmtId="49" fontId="6" fillId="0" borderId="0" xfId="286" applyNumberFormat="1" applyFont="1" applyAlignment="1" applyProtection="1">
      <alignment horizontal="center"/>
    </xf>
    <xf numFmtId="3" fontId="22" fillId="0" borderId="0" xfId="0" applyNumberFormat="1" applyFont="1" applyAlignment="1">
      <alignment horizontal="center"/>
    </xf>
    <xf numFmtId="49" fontId="6" fillId="0" borderId="0" xfId="286" applyNumberFormat="1" applyFont="1" applyProtection="1"/>
    <xf numFmtId="39" fontId="6" fillId="0" borderId="0" xfId="86" applyNumberFormat="1" applyFont="1" applyAlignment="1" applyProtection="1">
      <alignment horizontal="center"/>
    </xf>
    <xf numFmtId="0" fontId="4" fillId="0" borderId="6" xfId="286" applyNumberFormat="1" applyBorder="1" applyAlignment="1" applyProtection="1">
      <alignment horizontal="center"/>
    </xf>
    <xf numFmtId="0" fontId="6" fillId="0" borderId="6" xfId="286" applyNumberFormat="1" applyFont="1" applyBorder="1" applyAlignment="1" applyProtection="1">
      <alignment horizontal="center"/>
    </xf>
    <xf numFmtId="0" fontId="6" fillId="0" borderId="0" xfId="286" applyNumberFormat="1" applyFont="1" applyAlignment="1" applyProtection="1">
      <alignment horizontal="left"/>
    </xf>
    <xf numFmtId="170" fontId="6" fillId="0" borderId="0" xfId="286" applyNumberFormat="1" applyFont="1" applyProtection="1"/>
    <xf numFmtId="3" fontId="6" fillId="0" borderId="0" xfId="286" applyNumberFormat="1" applyFont="1" applyAlignment="1" applyProtection="1">
      <alignment horizontal="left"/>
    </xf>
    <xf numFmtId="0" fontId="6" fillId="0" borderId="6" xfId="286" applyNumberFormat="1" applyFont="1" applyBorder="1" applyAlignment="1" applyProtection="1">
      <alignment horizontal="centerContinuous"/>
    </xf>
    <xf numFmtId="41" fontId="6" fillId="0" borderId="0" xfId="286" applyNumberFormat="1" applyFont="1" applyProtection="1"/>
    <xf numFmtId="3" fontId="6" fillId="0" borderId="0" xfId="286" applyNumberFormat="1" applyFont="1" applyAlignment="1" applyProtection="1">
      <alignment horizontal="center"/>
    </xf>
    <xf numFmtId="165" fontId="6" fillId="0" borderId="0" xfId="286" applyNumberFormat="1" applyFont="1" applyAlignment="1" applyProtection="1">
      <alignment horizontal="right"/>
    </xf>
    <xf numFmtId="42" fontId="6" fillId="0" borderId="0" xfId="286" applyNumberFormat="1" applyFont="1" applyProtection="1"/>
    <xf numFmtId="172" fontId="6" fillId="0" borderId="11" xfId="286" applyFont="1" applyBorder="1" applyProtection="1"/>
    <xf numFmtId="0" fontId="6" fillId="0" borderId="0" xfId="0" applyFont="1" applyAlignment="1">
      <alignment wrapText="1"/>
    </xf>
    <xf numFmtId="174" fontId="6" fillId="0" borderId="14" xfId="286" applyNumberFormat="1" applyFont="1" applyBorder="1" applyProtection="1"/>
    <xf numFmtId="172" fontId="78" fillId="0" borderId="0" xfId="286" applyFont="1" applyAlignment="1" applyProtection="1">
      <alignment horizontal="center" wrapText="1"/>
    </xf>
    <xf numFmtId="43" fontId="6" fillId="0" borderId="0" xfId="86" applyFont="1" applyProtection="1"/>
    <xf numFmtId="171" fontId="6" fillId="0" borderId="0" xfId="286" applyNumberFormat="1" applyFont="1" applyProtection="1"/>
    <xf numFmtId="10" fontId="6" fillId="0" borderId="0" xfId="286" applyNumberFormat="1" applyFont="1" applyProtection="1"/>
    <xf numFmtId="10" fontId="6" fillId="0" borderId="0" xfId="295" applyNumberFormat="1" applyFont="1" applyAlignment="1" applyProtection="1"/>
    <xf numFmtId="185" fontId="6" fillId="0" borderId="0" xfId="286" applyNumberFormat="1" applyFont="1" applyProtection="1"/>
    <xf numFmtId="43" fontId="6" fillId="0" borderId="0" xfId="86" applyFont="1" applyAlignment="1" applyProtection="1"/>
    <xf numFmtId="41" fontId="6" fillId="0" borderId="0" xfId="286" applyNumberFormat="1" applyFont="1" applyAlignment="1" applyProtection="1">
      <alignment horizontal="center"/>
    </xf>
    <xf numFmtId="41" fontId="6" fillId="0" borderId="14" xfId="286" applyNumberFormat="1" applyFont="1" applyBorder="1" applyAlignment="1" applyProtection="1">
      <alignment horizontal="center"/>
    </xf>
    <xf numFmtId="41" fontId="6" fillId="0" borderId="0" xfId="286" applyNumberFormat="1" applyFont="1" applyAlignment="1" applyProtection="1">
      <alignment horizontal="right"/>
    </xf>
    <xf numFmtId="42" fontId="6" fillId="0" borderId="0" xfId="295" applyNumberFormat="1" applyFont="1" applyAlignment="1" applyProtection="1"/>
    <xf numFmtId="43" fontId="6" fillId="0" borderId="0" xfId="286" applyNumberFormat="1" applyFont="1" applyAlignment="1" applyProtection="1">
      <alignment horizontal="right"/>
    </xf>
    <xf numFmtId="172" fontId="6" fillId="0" borderId="0" xfId="286" applyFont="1" applyAlignment="1" applyProtection="1">
      <alignment horizontal="right"/>
    </xf>
    <xf numFmtId="0" fontId="33" fillId="0" borderId="0" xfId="0" applyFont="1" applyAlignment="1">
      <alignment horizontal="center"/>
    </xf>
    <xf numFmtId="49" fontId="6" fillId="0" borderId="0" xfId="286" applyNumberFormat="1" applyFont="1" applyAlignment="1" applyProtection="1">
      <alignment horizontal="left"/>
    </xf>
    <xf numFmtId="0" fontId="4" fillId="0" borderId="0" xfId="286" applyNumberFormat="1" applyAlignment="1" applyProtection="1">
      <alignment horizontal="center" vertical="center"/>
    </xf>
    <xf numFmtId="3" fontId="7" fillId="0" borderId="0" xfId="286" applyNumberFormat="1" applyFont="1" applyAlignment="1" applyProtection="1">
      <alignment horizontal="center"/>
    </xf>
    <xf numFmtId="172" fontId="7" fillId="0" borderId="0" xfId="286" applyFont="1" applyAlignment="1" applyProtection="1">
      <alignment horizontal="center"/>
    </xf>
    <xf numFmtId="49" fontId="7" fillId="0" borderId="0" xfId="286" applyNumberFormat="1" applyFont="1" applyAlignment="1" applyProtection="1">
      <alignment horizontal="center"/>
    </xf>
    <xf numFmtId="0" fontId="11" fillId="0" borderId="0" xfId="286" applyNumberFormat="1" applyFont="1" applyAlignment="1" applyProtection="1">
      <alignment horizontal="center"/>
    </xf>
    <xf numFmtId="172" fontId="11" fillId="0" borderId="0" xfId="286" applyFont="1" applyAlignment="1" applyProtection="1">
      <alignment horizontal="center"/>
    </xf>
    <xf numFmtId="3" fontId="7" fillId="0" borderId="0" xfId="286" applyNumberFormat="1" applyFont="1" applyProtection="1"/>
    <xf numFmtId="173" fontId="6" fillId="0" borderId="0" xfId="86" applyNumberFormat="1" applyFont="1" applyFill="1" applyAlignment="1" applyProtection="1"/>
    <xf numFmtId="0" fontId="6" fillId="0" borderId="0" xfId="286" applyNumberFormat="1" applyFont="1" applyAlignment="1" applyProtection="1">
      <alignment vertical="center"/>
    </xf>
    <xf numFmtId="3" fontId="6" fillId="0" borderId="0" xfId="286" applyNumberFormat="1" applyFont="1" applyAlignment="1" applyProtection="1">
      <alignment vertical="center" wrapText="1"/>
    </xf>
    <xf numFmtId="3" fontId="6" fillId="0" borderId="0" xfId="286" applyNumberFormat="1" applyFont="1" applyAlignment="1" applyProtection="1">
      <alignment vertical="center"/>
    </xf>
    <xf numFmtId="41" fontId="6" fillId="0" borderId="0" xfId="286" applyNumberFormat="1" applyFont="1" applyAlignment="1" applyProtection="1">
      <alignment vertical="center"/>
    </xf>
    <xf numFmtId="41" fontId="6" fillId="0" borderId="6" xfId="286" applyNumberFormat="1" applyFont="1" applyBorder="1" applyProtection="1"/>
    <xf numFmtId="181" fontId="7" fillId="0" borderId="0" xfId="86" applyNumberFormat="1" applyFont="1" applyFill="1" applyAlignment="1" applyProtection="1"/>
    <xf numFmtId="178" fontId="6" fillId="0" borderId="0" xfId="286" applyNumberFormat="1" applyFont="1" applyProtection="1"/>
    <xf numFmtId="183" fontId="6" fillId="0" borderId="0" xfId="286" applyNumberFormat="1" applyFont="1" applyProtection="1"/>
    <xf numFmtId="182" fontId="6" fillId="0" borderId="0" xfId="286" applyNumberFormat="1" applyFont="1" applyProtection="1"/>
    <xf numFmtId="0" fontId="6" fillId="0" borderId="0" xfId="286" applyNumberFormat="1" applyFont="1" applyAlignment="1" applyProtection="1">
      <alignment horizontal="center" vertical="center"/>
    </xf>
    <xf numFmtId="164" fontId="6" fillId="0" borderId="0" xfId="286" applyNumberFormat="1" applyFont="1" applyAlignment="1" applyProtection="1">
      <alignment horizontal="center"/>
    </xf>
    <xf numFmtId="177" fontId="6" fillId="0" borderId="0" xfId="86" applyNumberFormat="1" applyFont="1" applyFill="1" applyAlignment="1" applyProtection="1">
      <alignment horizontal="center"/>
    </xf>
    <xf numFmtId="165" fontId="6" fillId="0" borderId="0" xfId="286" applyNumberFormat="1" applyFont="1" applyProtection="1"/>
    <xf numFmtId="3" fontId="7" fillId="0" borderId="0" xfId="286" applyNumberFormat="1" applyFont="1" applyAlignment="1" applyProtection="1">
      <alignment horizontal="right"/>
    </xf>
    <xf numFmtId="181" fontId="6" fillId="0" borderId="0" xfId="86" applyNumberFormat="1" applyFont="1" applyFill="1" applyAlignment="1" applyProtection="1"/>
    <xf numFmtId="164" fontId="6" fillId="0" borderId="0" xfId="286" applyNumberFormat="1" applyFont="1" applyAlignment="1" applyProtection="1">
      <alignment horizontal="left"/>
    </xf>
    <xf numFmtId="10" fontId="6" fillId="0" borderId="0" xfId="295" applyNumberFormat="1" applyFont="1" applyFill="1" applyAlignment="1" applyProtection="1"/>
    <xf numFmtId="175" fontId="6" fillId="0" borderId="0" xfId="286" applyNumberFormat="1" applyFont="1" applyProtection="1"/>
    <xf numFmtId="41" fontId="6" fillId="0" borderId="0" xfId="286" applyNumberFormat="1" applyFont="1" applyAlignment="1" applyProtection="1">
      <alignment horizontal="center" vertical="center"/>
    </xf>
    <xf numFmtId="0" fontId="90" fillId="0" borderId="0" xfId="286" applyNumberFormat="1" applyFont="1" applyAlignment="1" applyProtection="1">
      <alignment horizontal="center"/>
    </xf>
    <xf numFmtId="3" fontId="6" fillId="0" borderId="0" xfId="286" applyNumberFormat="1" applyFont="1" applyAlignment="1" applyProtection="1">
      <alignment horizontal="right"/>
    </xf>
    <xf numFmtId="172" fontId="6" fillId="0" borderId="0" xfId="286" applyFont="1" applyAlignment="1" applyProtection="1">
      <alignment horizontal="center"/>
    </xf>
    <xf numFmtId="0" fontId="7" fillId="0" borderId="0" xfId="286" applyNumberFormat="1" applyFont="1" applyAlignment="1" applyProtection="1">
      <alignment horizontal="center"/>
    </xf>
    <xf numFmtId="3" fontId="11" fillId="0" borderId="0" xfId="286" applyNumberFormat="1" applyFont="1" applyAlignment="1" applyProtection="1">
      <alignment horizontal="center"/>
    </xf>
    <xf numFmtId="3" fontId="11" fillId="0" borderId="0" xfId="286" applyNumberFormat="1" applyFont="1" applyProtection="1"/>
    <xf numFmtId="43" fontId="13" fillId="0" borderId="0" xfId="86" applyFont="1" applyAlignment="1" applyProtection="1"/>
    <xf numFmtId="3" fontId="99" fillId="0" borderId="0" xfId="286" applyNumberFormat="1" applyFont="1" applyAlignment="1" applyProtection="1">
      <alignment horizontal="right"/>
    </xf>
    <xf numFmtId="3" fontId="6" fillId="0" borderId="0" xfId="286" applyNumberFormat="1" applyFont="1" applyAlignment="1" applyProtection="1">
      <alignment horizontal="center" vertical="center"/>
    </xf>
    <xf numFmtId="43" fontId="6" fillId="0" borderId="0" xfId="295" applyNumberFormat="1" applyFont="1" applyFill="1" applyAlignment="1" applyProtection="1"/>
    <xf numFmtId="166" fontId="6" fillId="0" borderId="0" xfId="286" applyNumberFormat="1" applyFont="1" applyProtection="1"/>
    <xf numFmtId="167" fontId="6" fillId="0" borderId="0" xfId="286" applyNumberFormat="1" applyFont="1" applyProtection="1"/>
    <xf numFmtId="172" fontId="24" fillId="0" borderId="0" xfId="286" applyFont="1" applyProtection="1"/>
    <xf numFmtId="168" fontId="6" fillId="0" borderId="0" xfId="286" applyNumberFormat="1" applyFont="1" applyProtection="1"/>
    <xf numFmtId="10" fontId="6" fillId="0" borderId="0" xfId="286" applyNumberFormat="1" applyFont="1" applyAlignment="1" applyProtection="1">
      <alignment horizontal="right"/>
    </xf>
    <xf numFmtId="10" fontId="33" fillId="0" borderId="0" xfId="295" applyNumberFormat="1" applyFont="1" applyProtection="1"/>
    <xf numFmtId="3" fontId="24" fillId="0" borderId="0" xfId="286" applyNumberFormat="1" applyFont="1" applyProtection="1"/>
    <xf numFmtId="166" fontId="6" fillId="0" borderId="0" xfId="286" applyNumberFormat="1" applyFont="1" applyAlignment="1" applyProtection="1">
      <alignment horizontal="center"/>
    </xf>
    <xf numFmtId="186" fontId="24" fillId="0" borderId="0" xfId="286" applyNumberFormat="1" applyFont="1" applyAlignment="1" applyProtection="1">
      <alignment horizontal="center"/>
    </xf>
    <xf numFmtId="187" fontId="6" fillId="0" borderId="0" xfId="286" applyNumberFormat="1" applyFont="1" applyProtection="1"/>
    <xf numFmtId="179" fontId="6" fillId="0" borderId="0" xfId="286" applyNumberFormat="1" applyFont="1" applyAlignment="1" applyProtection="1">
      <alignment horizontal="right"/>
    </xf>
    <xf numFmtId="185" fontId="6" fillId="0" borderId="0" xfId="86" applyNumberFormat="1" applyFont="1" applyAlignment="1" applyProtection="1">
      <alignment horizontal="center"/>
    </xf>
    <xf numFmtId="41" fontId="24" fillId="0" borderId="0" xfId="286" applyNumberFormat="1" applyFont="1" applyProtection="1"/>
    <xf numFmtId="43" fontId="24" fillId="0" borderId="0" xfId="86" applyFont="1" applyAlignment="1" applyProtection="1"/>
    <xf numFmtId="179" fontId="6" fillId="0" borderId="0" xfId="286" applyNumberFormat="1" applyFont="1" applyAlignment="1" applyProtection="1">
      <alignment horizontal="center"/>
    </xf>
    <xf numFmtId="10" fontId="6" fillId="0" borderId="0" xfId="286" applyNumberFormat="1" applyFont="1" applyAlignment="1" applyProtection="1">
      <alignment horizontal="left"/>
    </xf>
    <xf numFmtId="186" fontId="6" fillId="0" borderId="0" xfId="286" applyNumberFormat="1" applyFont="1" applyAlignment="1" applyProtection="1">
      <alignment horizontal="center"/>
    </xf>
    <xf numFmtId="168" fontId="6" fillId="0" borderId="0" xfId="286" applyNumberFormat="1" applyFont="1" applyAlignment="1" applyProtection="1">
      <alignment horizontal="left"/>
    </xf>
    <xf numFmtId="41" fontId="6" fillId="0" borderId="11" xfId="286" applyNumberFormat="1" applyFont="1" applyBorder="1" applyProtection="1"/>
    <xf numFmtId="179" fontId="6" fillId="0" borderId="0" xfId="286" applyNumberFormat="1" applyFont="1" applyProtection="1"/>
    <xf numFmtId="164" fontId="6" fillId="0" borderId="0" xfId="286" applyNumberFormat="1" applyFont="1" applyAlignment="1" applyProtection="1">
      <alignment horizontal="left" vertical="center"/>
    </xf>
    <xf numFmtId="180" fontId="6" fillId="0" borderId="0" xfId="286" applyNumberFormat="1" applyFont="1" applyProtection="1"/>
    <xf numFmtId="173" fontId="6" fillId="0" borderId="14" xfId="86" applyNumberFormat="1" applyFont="1" applyBorder="1" applyAlignment="1" applyProtection="1"/>
    <xf numFmtId="0" fontId="7" fillId="0" borderId="0" xfId="286" applyNumberFormat="1" applyFont="1" applyProtection="1"/>
    <xf numFmtId="0" fontId="6" fillId="0" borderId="0" xfId="0" applyFont="1" applyAlignment="1">
      <alignment horizontal="left"/>
    </xf>
    <xf numFmtId="173" fontId="6" fillId="0" borderId="6" xfId="86" applyNumberFormat="1" applyFont="1" applyBorder="1" applyAlignment="1" applyProtection="1"/>
    <xf numFmtId="165" fontId="7" fillId="0" borderId="0" xfId="286" applyNumberFormat="1" applyFont="1" applyAlignment="1" applyProtection="1">
      <alignment horizontal="right"/>
    </xf>
    <xf numFmtId="3" fontId="6" fillId="0" borderId="0" xfId="286" applyNumberFormat="1" applyFont="1" applyAlignment="1" applyProtection="1">
      <alignment horizontal="center" wrapText="1"/>
    </xf>
    <xf numFmtId="4" fontId="6" fillId="0" borderId="0" xfId="286" applyNumberFormat="1" applyFont="1" applyProtection="1"/>
    <xf numFmtId="173" fontId="6" fillId="0" borderId="6" xfId="86" applyNumberFormat="1" applyFont="1" applyFill="1" applyBorder="1" applyAlignment="1" applyProtection="1"/>
    <xf numFmtId="172" fontId="7" fillId="0" borderId="0" xfId="286" applyFont="1" applyAlignment="1" applyProtection="1">
      <alignment horizontal="right"/>
    </xf>
    <xf numFmtId="165" fontId="7" fillId="0" borderId="0" xfId="286" applyNumberFormat="1" applyFont="1" applyProtection="1"/>
    <xf numFmtId="166" fontId="7" fillId="0" borderId="0" xfId="286" applyNumberFormat="1" applyFont="1" applyProtection="1"/>
    <xf numFmtId="3" fontId="6" fillId="0" borderId="6" xfId="286" applyNumberFormat="1" applyFont="1" applyBorder="1" applyAlignment="1" applyProtection="1">
      <alignment horizontal="center"/>
    </xf>
    <xf numFmtId="0" fontId="15" fillId="0" borderId="0" xfId="286" applyNumberFormat="1" applyFont="1" applyAlignment="1" applyProtection="1">
      <alignment horizontal="left"/>
    </xf>
    <xf numFmtId="181" fontId="6" fillId="0" borderId="0" xfId="86" applyNumberFormat="1" applyFont="1" applyFill="1" applyAlignment="1" applyProtection="1">
      <alignment horizontal="center"/>
    </xf>
    <xf numFmtId="181" fontId="6" fillId="0" borderId="6" xfId="86" applyNumberFormat="1" applyFont="1" applyFill="1" applyBorder="1" applyAlignment="1" applyProtection="1">
      <alignment horizontal="center"/>
    </xf>
    <xf numFmtId="185" fontId="6" fillId="0" borderId="0" xfId="86" applyNumberFormat="1" applyFont="1" applyFill="1" applyAlignment="1" applyProtection="1"/>
    <xf numFmtId="169" fontId="6" fillId="0" borderId="15" xfId="286" applyNumberFormat="1" applyFont="1" applyBorder="1" applyProtection="1"/>
    <xf numFmtId="3" fontId="6" fillId="0" borderId="0" xfId="286" quotePrefix="1" applyNumberFormat="1" applyFont="1" applyProtection="1"/>
    <xf numFmtId="169" fontId="6" fillId="0" borderId="0" xfId="286" applyNumberFormat="1" applyFont="1" applyProtection="1"/>
    <xf numFmtId="169" fontId="6" fillId="0" borderId="6" xfId="286" applyNumberFormat="1" applyFont="1" applyBorder="1" applyProtection="1"/>
    <xf numFmtId="181" fontId="23" fillId="0" borderId="0" xfId="86" applyNumberFormat="1" applyFont="1" applyFill="1" applyProtection="1"/>
    <xf numFmtId="169" fontId="7" fillId="0" borderId="0" xfId="286" applyNumberFormat="1" applyFont="1" applyProtection="1"/>
    <xf numFmtId="3" fontId="7" fillId="0" borderId="0" xfId="286" quotePrefix="1" applyNumberFormat="1" applyFont="1" applyProtection="1"/>
    <xf numFmtId="172" fontId="4" fillId="0" borderId="0" xfId="286" applyAlignment="1" applyProtection="1">
      <alignment horizontal="center"/>
    </xf>
    <xf numFmtId="0" fontId="27" fillId="0" borderId="0" xfId="286" applyNumberFormat="1" applyFont="1" applyProtection="1"/>
    <xf numFmtId="0" fontId="120" fillId="0" borderId="0" xfId="286" applyNumberFormat="1" applyFont="1" applyProtection="1"/>
    <xf numFmtId="172" fontId="27" fillId="0" borderId="0" xfId="286" applyFont="1" applyProtection="1"/>
    <xf numFmtId="0" fontId="27" fillId="0" borderId="0" xfId="0" applyFont="1" applyAlignment="1">
      <alignment vertical="top" wrapText="1"/>
    </xf>
    <xf numFmtId="172" fontId="27" fillId="0" borderId="0" xfId="286" applyFont="1" applyAlignment="1" applyProtection="1">
      <alignment wrapText="1"/>
    </xf>
    <xf numFmtId="172" fontId="120" fillId="0" borderId="0" xfId="286" applyFont="1" applyProtection="1"/>
    <xf numFmtId="0" fontId="4" fillId="0" borderId="0" xfId="286" applyNumberFormat="1" applyProtection="1"/>
    <xf numFmtId="0" fontId="89" fillId="0" borderId="0" xfId="286" applyNumberFormat="1" applyFont="1" applyAlignment="1" applyProtection="1">
      <alignment horizontal="center"/>
    </xf>
    <xf numFmtId="0" fontId="18" fillId="0" borderId="0" xfId="0" applyFont="1" applyAlignment="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4" fillId="0" borderId="0" xfId="0" applyFont="1"/>
    <xf numFmtId="0" fontId="4" fillId="0" borderId="0" xfId="290" applyFont="1"/>
    <xf numFmtId="0" fontId="4" fillId="0" borderId="0" xfId="290" applyFont="1" applyAlignment="1">
      <alignment horizontal="right"/>
    </xf>
    <xf numFmtId="0" fontId="11" fillId="0" borderId="0" xfId="290" applyFont="1" applyAlignment="1">
      <alignment horizontal="center"/>
    </xf>
    <xf numFmtId="0" fontId="6" fillId="0" borderId="0" xfId="290" applyFont="1"/>
    <xf numFmtId="0" fontId="83" fillId="0" borderId="0" xfId="290" applyFont="1"/>
    <xf numFmtId="0" fontId="27" fillId="0" borderId="0" xfId="0" applyFont="1" applyAlignment="1">
      <alignment horizontal="center"/>
    </xf>
    <xf numFmtId="0" fontId="4" fillId="0" borderId="0" xfId="0" applyFont="1" applyAlignment="1">
      <alignment horizontal="right"/>
    </xf>
    <xf numFmtId="0" fontId="7" fillId="0" borderId="0" xfId="290" applyFont="1"/>
    <xf numFmtId="0" fontId="27" fillId="0" borderId="0" xfId="290" applyFont="1" applyAlignment="1">
      <alignment horizontal="center"/>
    </xf>
    <xf numFmtId="0" fontId="10" fillId="0" borderId="0" xfId="290" applyFont="1" applyAlignment="1">
      <alignment horizontal="center"/>
    </xf>
    <xf numFmtId="0" fontId="10" fillId="0" borderId="0" xfId="290" applyFont="1"/>
    <xf numFmtId="0" fontId="13" fillId="0" borderId="0" xfId="290" applyFont="1"/>
    <xf numFmtId="173" fontId="13" fillId="0" borderId="0" xfId="290" applyNumberFormat="1" applyFont="1"/>
    <xf numFmtId="0" fontId="109" fillId="0" borderId="0" xfId="0" applyFont="1"/>
    <xf numFmtId="0" fontId="100" fillId="0" borderId="0" xfId="290" applyFont="1" applyAlignment="1">
      <alignment horizontal="center"/>
    </xf>
    <xf numFmtId="0" fontId="100" fillId="0" borderId="0" xfId="290" applyFont="1"/>
    <xf numFmtId="0" fontId="108" fillId="0" borderId="0" xfId="0" applyFont="1"/>
    <xf numFmtId="0" fontId="108" fillId="0" borderId="0" xfId="290" applyFont="1"/>
    <xf numFmtId="172" fontId="13" fillId="0" borderId="0" xfId="290" applyNumberFormat="1" applyFont="1" applyAlignment="1">
      <alignment horizontal="center"/>
    </xf>
    <xf numFmtId="43" fontId="13" fillId="0" borderId="0" xfId="125" applyFont="1" applyFill="1" applyProtection="1"/>
    <xf numFmtId="43" fontId="108" fillId="0" borderId="0" xfId="125" applyFont="1" applyFill="1" applyProtection="1"/>
    <xf numFmtId="184" fontId="13" fillId="0" borderId="0" xfId="0" applyNumberFormat="1" applyFont="1"/>
    <xf numFmtId="173" fontId="13" fillId="0" borderId="13" xfId="0" applyNumberFormat="1" applyFont="1" applyBorder="1"/>
    <xf numFmtId="173" fontId="13" fillId="0" borderId="13" xfId="290" applyNumberFormat="1" applyFont="1" applyBorder="1"/>
    <xf numFmtId="173" fontId="6" fillId="0" borderId="0" xfId="290" applyNumberFormat="1" applyFont="1"/>
    <xf numFmtId="0" fontId="13" fillId="0" borderId="0" xfId="0" applyFont="1" applyAlignment="1">
      <alignment vertical="top" wrapText="1"/>
    </xf>
    <xf numFmtId="0" fontId="7" fillId="0" borderId="0" xfId="0" applyFont="1" applyAlignment="1">
      <alignment horizontal="center"/>
    </xf>
    <xf numFmtId="173" fontId="7" fillId="0" borderId="0" xfId="0" applyNumberFormat="1" applyFont="1" applyAlignment="1">
      <alignment horizontal="center"/>
    </xf>
    <xf numFmtId="173" fontId="3" fillId="0" borderId="0" xfId="86" applyNumberFormat="1" applyProtection="1"/>
    <xf numFmtId="0" fontId="12" fillId="0" borderId="0" xfId="0" applyFont="1"/>
    <xf numFmtId="0" fontId="19" fillId="0" borderId="0" xfId="0" applyFont="1" applyAlignment="1">
      <alignment horizontal="left"/>
    </xf>
    <xf numFmtId="0" fontId="67" fillId="0" borderId="0" xfId="0" applyFont="1"/>
    <xf numFmtId="0" fontId="7" fillId="0" borderId="0" xfId="0" applyFont="1" applyAlignment="1">
      <alignment horizontal="left"/>
    </xf>
    <xf numFmtId="0" fontId="13" fillId="0" borderId="0" xfId="286" applyNumberFormat="1" applyFont="1" applyProtection="1"/>
    <xf numFmtId="3" fontId="13" fillId="0" borderId="0" xfId="286" applyNumberFormat="1" applyFont="1" applyProtection="1"/>
    <xf numFmtId="10" fontId="3" fillId="0" borderId="0" xfId="295" applyNumberFormat="1" applyAlignment="1" applyProtection="1">
      <alignment horizontal="right"/>
    </xf>
    <xf numFmtId="172" fontId="13" fillId="0" borderId="0" xfId="286" applyFont="1" applyProtection="1"/>
    <xf numFmtId="10" fontId="13" fillId="0" borderId="0" xfId="295" applyNumberFormat="1" applyFont="1" applyFill="1" applyAlignment="1" applyProtection="1">
      <alignment horizontal="right"/>
    </xf>
    <xf numFmtId="3" fontId="10" fillId="0" borderId="0" xfId="286" applyNumberFormat="1" applyFont="1" applyProtection="1"/>
    <xf numFmtId="10" fontId="13" fillId="0" borderId="0" xfId="286" applyNumberFormat="1" applyFont="1" applyAlignment="1" applyProtection="1">
      <alignment horizontal="right"/>
    </xf>
    <xf numFmtId="3" fontId="14" fillId="0" borderId="0" xfId="286" applyNumberFormat="1" applyFont="1" applyAlignment="1" applyProtection="1">
      <alignment horizontal="center"/>
    </xf>
    <xf numFmtId="10" fontId="14" fillId="0" borderId="0" xfId="286" applyNumberFormat="1" applyFont="1" applyAlignment="1" applyProtection="1">
      <alignment horizontal="center"/>
    </xf>
    <xf numFmtId="0" fontId="13" fillId="0" borderId="0" xfId="286" applyNumberFormat="1" applyFont="1" applyAlignment="1" applyProtection="1">
      <alignment horizontal="right"/>
    </xf>
    <xf numFmtId="10" fontId="0" fillId="0" borderId="0" xfId="0" applyNumberFormat="1" applyAlignment="1">
      <alignment horizontal="center"/>
    </xf>
    <xf numFmtId="164" fontId="13" fillId="0" borderId="0" xfId="295" applyNumberFormat="1" applyFont="1" applyAlignment="1" applyProtection="1"/>
    <xf numFmtId="166" fontId="13" fillId="0" borderId="0" xfId="286" applyNumberFormat="1" applyFont="1" applyAlignment="1" applyProtection="1">
      <alignment horizontal="center"/>
    </xf>
    <xf numFmtId="41" fontId="13" fillId="0" borderId="0" xfId="286" applyNumberFormat="1" applyFont="1" applyProtection="1"/>
    <xf numFmtId="41" fontId="13" fillId="0" borderId="0" xfId="286" applyNumberFormat="1" applyFont="1" applyAlignment="1" applyProtection="1">
      <alignment horizontal="center"/>
    </xf>
    <xf numFmtId="164" fontId="14" fillId="0" borderId="0" xfId="295" applyNumberFormat="1" applyFont="1" applyAlignment="1" applyProtection="1"/>
    <xf numFmtId="3" fontId="13" fillId="0" borderId="0" xfId="286" applyNumberFormat="1" applyFont="1" applyAlignment="1" applyProtection="1">
      <alignment horizontal="right"/>
    </xf>
    <xf numFmtId="172" fontId="3" fillId="0" borderId="17" xfId="286" applyFont="1" applyBorder="1" applyProtection="1"/>
    <xf numFmtId="0" fontId="3" fillId="0" borderId="0" xfId="286" applyNumberFormat="1" applyFont="1" applyAlignment="1" applyProtection="1">
      <alignment horizontal="center"/>
    </xf>
    <xf numFmtId="172" fontId="3" fillId="0" borderId="0" xfId="286" applyFont="1" applyProtection="1"/>
    <xf numFmtId="3" fontId="3" fillId="0" borderId="18" xfId="286" applyNumberFormat="1" applyFont="1" applyBorder="1" applyProtection="1"/>
    <xf numFmtId="10" fontId="13" fillId="0" borderId="0" xfId="286" applyNumberFormat="1" applyFont="1" applyAlignment="1" applyProtection="1">
      <alignment horizontal="left"/>
    </xf>
    <xf numFmtId="0" fontId="3" fillId="0" borderId="17" xfId="0" applyFont="1" applyBorder="1"/>
    <xf numFmtId="0" fontId="3" fillId="0" borderId="18" xfId="0" applyFont="1" applyBorder="1"/>
    <xf numFmtId="166" fontId="3" fillId="0" borderId="19" xfId="286" applyNumberFormat="1" applyFont="1" applyBorder="1" applyAlignment="1" applyProtection="1">
      <alignment horizontal="center"/>
    </xf>
    <xf numFmtId="0" fontId="3" fillId="0" borderId="6" xfId="286" applyNumberFormat="1" applyFont="1" applyBorder="1" applyAlignment="1" applyProtection="1">
      <alignment horizontal="center"/>
    </xf>
    <xf numFmtId="174" fontId="3" fillId="0" borderId="20" xfId="0" applyNumberFormat="1" applyFont="1" applyBorder="1"/>
    <xf numFmtId="41" fontId="3" fillId="0" borderId="0" xfId="286" applyNumberFormat="1" applyFont="1" applyProtection="1"/>
    <xf numFmtId="0" fontId="13" fillId="31" borderId="0" xfId="286" applyNumberFormat="1" applyFont="1" applyFill="1" applyProtection="1"/>
    <xf numFmtId="41" fontId="13" fillId="0" borderId="0" xfId="286" applyNumberFormat="1" applyFont="1" applyAlignment="1" applyProtection="1">
      <alignment horizontal="left"/>
    </xf>
    <xf numFmtId="41" fontId="3" fillId="0" borderId="0" xfId="286" applyNumberFormat="1" applyFont="1" applyAlignment="1" applyProtection="1">
      <alignment horizontal="right"/>
    </xf>
    <xf numFmtId="167" fontId="13" fillId="0" borderId="0" xfId="286" applyNumberFormat="1" applyFont="1" applyProtection="1"/>
    <xf numFmtId="164" fontId="13" fillId="0" borderId="0" xfId="286" applyNumberFormat="1" applyFont="1" applyAlignment="1" applyProtection="1">
      <alignment horizontal="left"/>
    </xf>
    <xf numFmtId="3" fontId="13" fillId="0" borderId="0" xfId="286" applyNumberFormat="1" applyFont="1" applyAlignment="1" applyProtection="1">
      <alignment vertical="center" wrapText="1"/>
    </xf>
    <xf numFmtId="41" fontId="13" fillId="0" borderId="0" xfId="286" applyNumberFormat="1" applyFont="1" applyAlignment="1" applyProtection="1">
      <alignment vertical="center"/>
    </xf>
    <xf numFmtId="41" fontId="13" fillId="0" borderId="0" xfId="286" applyNumberFormat="1" applyFont="1" applyAlignment="1" applyProtection="1">
      <alignment horizontal="center" vertical="center"/>
    </xf>
    <xf numFmtId="41" fontId="13" fillId="0" borderId="0" xfId="286" applyNumberFormat="1" applyFont="1" applyAlignment="1" applyProtection="1">
      <alignment horizontal="right"/>
    </xf>
    <xf numFmtId="173" fontId="13" fillId="0" borderId="0" xfId="86" applyNumberFormat="1" applyFont="1" applyProtection="1"/>
    <xf numFmtId="41" fontId="13" fillId="0" borderId="0" xfId="0" applyNumberFormat="1" applyFont="1"/>
    <xf numFmtId="41" fontId="13" fillId="0" borderId="11" xfId="286" applyNumberFormat="1" applyFont="1" applyBorder="1" applyProtection="1"/>
    <xf numFmtId="41" fontId="14" fillId="0" borderId="0" xfId="286" applyNumberFormat="1" applyFont="1" applyProtection="1"/>
    <xf numFmtId="3" fontId="13" fillId="0" borderId="0" xfId="286" applyNumberFormat="1" applyFont="1" applyAlignment="1" applyProtection="1">
      <alignment horizontal="center"/>
    </xf>
    <xf numFmtId="0" fontId="13" fillId="0" borderId="0" xfId="286" applyNumberFormat="1" applyFont="1" applyAlignment="1" applyProtection="1">
      <alignment horizontal="center"/>
    </xf>
    <xf numFmtId="10" fontId="13" fillId="0" borderId="0" xfId="286" applyNumberFormat="1" applyFont="1" applyProtection="1"/>
    <xf numFmtId="169" fontId="13" fillId="0" borderId="0" xfId="286" applyNumberFormat="1" applyFont="1" applyProtection="1"/>
    <xf numFmtId="169" fontId="10" fillId="0" borderId="0" xfId="286" applyNumberFormat="1" applyFont="1" applyProtection="1"/>
    <xf numFmtId="173" fontId="13" fillId="0" borderId="0" xfId="86" applyNumberFormat="1" applyFont="1" applyFill="1" applyBorder="1" applyProtection="1"/>
    <xf numFmtId="41" fontId="14" fillId="0" borderId="0" xfId="0" applyNumberFormat="1" applyFont="1"/>
    <xf numFmtId="181" fontId="13" fillId="0" borderId="0" xfId="86" applyNumberFormat="1" applyFont="1" applyProtection="1"/>
    <xf numFmtId="10" fontId="14" fillId="0" borderId="0" xfId="0" applyNumberFormat="1" applyFont="1"/>
    <xf numFmtId="0" fontId="13" fillId="31" borderId="0" xfId="0" applyFont="1" applyFill="1"/>
    <xf numFmtId="173" fontId="13" fillId="0" borderId="0" xfId="86" applyNumberFormat="1" applyFont="1" applyFill="1" applyProtection="1"/>
    <xf numFmtId="173" fontId="13" fillId="0" borderId="0" xfId="86" applyNumberFormat="1" applyFont="1" applyBorder="1" applyProtection="1"/>
    <xf numFmtId="43" fontId="13" fillId="0" borderId="0" xfId="86" applyFont="1" applyProtection="1"/>
    <xf numFmtId="173" fontId="13" fillId="0" borderId="0" xfId="0" applyNumberFormat="1" applyFont="1"/>
    <xf numFmtId="0" fontId="69" fillId="0" borderId="0" xfId="0" applyFont="1"/>
    <xf numFmtId="174" fontId="13" fillId="0" borderId="0" xfId="0" applyNumberFormat="1" applyFont="1"/>
    <xf numFmtId="0" fontId="7" fillId="0" borderId="0" xfId="0" applyFont="1"/>
    <xf numFmtId="0" fontId="10" fillId="0" borderId="21" xfId="0" applyFont="1" applyBorder="1"/>
    <xf numFmtId="0" fontId="10" fillId="0" borderId="15" xfId="0" applyFont="1" applyBorder="1"/>
    <xf numFmtId="0" fontId="13" fillId="0" borderId="15" xfId="0" applyFont="1" applyBorder="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7" xfId="0" applyFont="1" applyBorder="1"/>
    <xf numFmtId="0" fontId="10" fillId="0" borderId="0" xfId="0" applyFont="1"/>
    <xf numFmtId="173" fontId="13" fillId="0" borderId="20"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2" xfId="0" applyFont="1" applyBorder="1" applyAlignment="1">
      <alignment horizontal="center"/>
    </xf>
    <xf numFmtId="0" fontId="0" fillId="0" borderId="23" xfId="0" applyBorder="1"/>
    <xf numFmtId="0" fontId="0" fillId="0" borderId="24" xfId="0" applyBorder="1"/>
    <xf numFmtId="0" fontId="13" fillId="0" borderId="17" xfId="0" applyFont="1" applyBorder="1"/>
    <xf numFmtId="0" fontId="10" fillId="0" borderId="25" xfId="0" applyFont="1" applyBorder="1" applyAlignment="1">
      <alignment horizontal="center"/>
    </xf>
    <xf numFmtId="173" fontId="13" fillId="0" borderId="0" xfId="0" applyNumberFormat="1" applyFont="1" applyAlignment="1">
      <alignment horizontal="right"/>
    </xf>
    <xf numFmtId="10" fontId="13" fillId="0" borderId="18" xfId="0" applyNumberFormat="1" applyFont="1" applyBorder="1"/>
    <xf numFmtId="173" fontId="13" fillId="0" borderId="18" xfId="0" applyNumberFormat="1" applyFont="1" applyBorder="1" applyAlignment="1">
      <alignment horizontal="right"/>
    </xf>
    <xf numFmtId="0" fontId="13" fillId="0" borderId="19" xfId="0" applyFont="1" applyBorder="1"/>
    <xf numFmtId="0" fontId="13" fillId="0" borderId="6" xfId="0" applyFont="1" applyBorder="1" applyAlignment="1">
      <alignment horizontal="center"/>
    </xf>
    <xf numFmtId="0" fontId="0" fillId="0" borderId="6" xfId="0" applyBorder="1"/>
    <xf numFmtId="0" fontId="10" fillId="0" borderId="26"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6" xfId="86" applyNumberFormat="1" applyFont="1" applyBorder="1" applyAlignment="1" applyProtection="1">
      <alignment horizontal="center" wrapText="1"/>
    </xf>
    <xf numFmtId="173" fontId="10" fillId="0" borderId="25" xfId="86" applyNumberFormat="1" applyFont="1" applyBorder="1" applyAlignment="1" applyProtection="1">
      <alignment horizontal="center" wrapText="1"/>
    </xf>
    <xf numFmtId="0" fontId="10" fillId="0" borderId="27" xfId="0" applyFont="1" applyBorder="1" applyAlignment="1">
      <alignment horizontal="center" wrapText="1"/>
    </xf>
    <xf numFmtId="0" fontId="10" fillId="0" borderId="28" xfId="0" applyFont="1" applyBorder="1" applyAlignment="1">
      <alignment horizontal="center"/>
    </xf>
    <xf numFmtId="0" fontId="10" fillId="0" borderId="6" xfId="0" applyFont="1" applyBorder="1" applyAlignment="1">
      <alignment horizontal="center"/>
    </xf>
    <xf numFmtId="173" fontId="10" fillId="0" borderId="28" xfId="86" applyNumberFormat="1" applyFont="1" applyBorder="1" applyAlignment="1" applyProtection="1">
      <alignment horizontal="center"/>
    </xf>
    <xf numFmtId="173" fontId="10" fillId="0" borderId="20" xfId="86" applyNumberFormat="1" applyFont="1" applyBorder="1" applyAlignment="1" applyProtection="1">
      <alignment horizontal="center"/>
    </xf>
    <xf numFmtId="0" fontId="10" fillId="0" borderId="27" xfId="0" applyFont="1" applyBorder="1" applyAlignment="1">
      <alignment horizontal="center"/>
    </xf>
    <xf numFmtId="0" fontId="13" fillId="0" borderId="27" xfId="0" applyFont="1" applyBorder="1" applyAlignment="1">
      <alignment horizontal="center"/>
    </xf>
    <xf numFmtId="173" fontId="13" fillId="0" borderId="27" xfId="86" applyNumberFormat="1" applyFont="1" applyBorder="1" applyProtection="1"/>
    <xf numFmtId="173" fontId="13" fillId="0" borderId="27" xfId="86" applyNumberFormat="1" applyFont="1" applyFill="1" applyBorder="1" applyProtection="1"/>
    <xf numFmtId="173" fontId="13" fillId="0" borderId="18" xfId="86" applyNumberFormat="1" applyFont="1" applyFill="1" applyBorder="1" applyProtection="1"/>
    <xf numFmtId="174" fontId="13" fillId="0" borderId="27" xfId="0" applyNumberFormat="1" applyFont="1" applyBorder="1"/>
    <xf numFmtId="174" fontId="9" fillId="28" borderId="26" xfId="0" applyNumberFormat="1" applyFont="1" applyFill="1" applyBorder="1"/>
    <xf numFmtId="174" fontId="13" fillId="29" borderId="26" xfId="0" applyNumberFormat="1" applyFont="1" applyFill="1" applyBorder="1"/>
    <xf numFmtId="173" fontId="13" fillId="0" borderId="27" xfId="0" applyNumberFormat="1" applyFont="1" applyBorder="1"/>
    <xf numFmtId="173" fontId="13" fillId="0" borderId="18" xfId="86" applyNumberFormat="1" applyFont="1" applyBorder="1" applyProtection="1"/>
    <xf numFmtId="174" fontId="9" fillId="28" borderId="27" xfId="0" applyNumberFormat="1" applyFont="1" applyFill="1" applyBorder="1"/>
    <xf numFmtId="174" fontId="13" fillId="29" borderId="27" xfId="0" applyNumberFormat="1" applyFont="1" applyFill="1" applyBorder="1"/>
    <xf numFmtId="0" fontId="13" fillId="0" borderId="28" xfId="0" applyFont="1" applyBorder="1" applyAlignment="1">
      <alignment horizontal="center"/>
    </xf>
    <xf numFmtId="173" fontId="13" fillId="0" borderId="6" xfId="0" applyNumberFormat="1" applyFont="1" applyBorder="1"/>
    <xf numFmtId="173" fontId="13" fillId="0" borderId="28" xfId="0" applyNumberFormat="1" applyFont="1" applyBorder="1"/>
    <xf numFmtId="173" fontId="13" fillId="0" borderId="28" xfId="86" applyNumberFormat="1" applyFont="1" applyBorder="1" applyProtection="1"/>
    <xf numFmtId="174" fontId="13" fillId="0" borderId="28" xfId="0" applyNumberFormat="1" applyFont="1" applyBorder="1"/>
    <xf numFmtId="174" fontId="9" fillId="28" borderId="28" xfId="0" applyNumberFormat="1" applyFont="1" applyFill="1" applyBorder="1"/>
    <xf numFmtId="174" fontId="13" fillId="29" borderId="28" xfId="0" applyNumberFormat="1" applyFont="1" applyFill="1" applyBorder="1"/>
    <xf numFmtId="0" fontId="0" fillId="32" borderId="0" xfId="0" applyFill="1"/>
    <xf numFmtId="10" fontId="0" fillId="0" borderId="0" xfId="295" applyNumberFormat="1" applyFont="1" applyAlignment="1" applyProtection="1">
      <alignment horizontal="right"/>
    </xf>
    <xf numFmtId="172" fontId="13" fillId="0" borderId="21" xfId="286" applyFont="1" applyBorder="1" applyProtection="1"/>
    <xf numFmtId="172" fontId="13" fillId="0" borderId="15" xfId="286" applyFont="1" applyBorder="1" applyProtection="1"/>
    <xf numFmtId="3" fontId="13" fillId="0" borderId="25" xfId="286" applyNumberFormat="1" applyFont="1" applyBorder="1" applyProtection="1"/>
    <xf numFmtId="172" fontId="13" fillId="0" borderId="17" xfId="286" applyFont="1" applyBorder="1" applyProtection="1"/>
    <xf numFmtId="3" fontId="13" fillId="0" borderId="18" xfId="286" applyNumberFormat="1" applyFont="1" applyBorder="1" applyProtection="1"/>
    <xf numFmtId="0" fontId="13" fillId="0" borderId="0" xfId="286" quotePrefix="1" applyNumberFormat="1" applyFont="1" applyAlignment="1" applyProtection="1">
      <alignment horizontal="center"/>
    </xf>
    <xf numFmtId="0" fontId="13" fillId="0" borderId="18" xfId="0" applyFont="1" applyBorder="1"/>
    <xf numFmtId="10" fontId="33" fillId="0" borderId="0" xfId="0" applyNumberFormat="1" applyFont="1" applyAlignment="1">
      <alignment horizontal="center"/>
    </xf>
    <xf numFmtId="0" fontId="13" fillId="0" borderId="0" xfId="0" applyFont="1" applyAlignment="1">
      <alignment horizontal="right"/>
    </xf>
    <xf numFmtId="174" fontId="13" fillId="0" borderId="18" xfId="0" applyNumberFormat="1" applyFont="1" applyBorder="1"/>
    <xf numFmtId="174" fontId="13" fillId="0" borderId="20" xfId="0" applyNumberFormat="1" applyFont="1" applyBorder="1"/>
    <xf numFmtId="173" fontId="13" fillId="0" borderId="25" xfId="0" applyNumberFormat="1" applyFont="1" applyBorder="1"/>
    <xf numFmtId="166" fontId="13" fillId="0" borderId="19" xfId="286" applyNumberFormat="1" applyFont="1" applyBorder="1" applyAlignment="1" applyProtection="1">
      <alignment horizontal="center"/>
    </xf>
    <xf numFmtId="0" fontId="13" fillId="0" borderId="6" xfId="286" applyNumberFormat="1" applyFont="1" applyBorder="1" applyAlignment="1" applyProtection="1">
      <alignment horizontal="center"/>
    </xf>
    <xf numFmtId="173" fontId="13" fillId="0" borderId="6" xfId="286" quotePrefix="1" applyNumberFormat="1" applyFont="1" applyBorder="1" applyAlignment="1" applyProtection="1">
      <alignment horizontal="center"/>
    </xf>
    <xf numFmtId="10" fontId="13" fillId="0" borderId="0" xfId="295" applyNumberFormat="1" applyFont="1" applyFill="1" applyBorder="1" applyAlignment="1" applyProtection="1"/>
    <xf numFmtId="0" fontId="127" fillId="27" borderId="0" xfId="0" applyFont="1" applyFill="1"/>
    <xf numFmtId="0" fontId="10" fillId="0" borderId="21" xfId="0" applyFont="1" applyBorder="1" applyAlignment="1">
      <alignment horizontal="center"/>
    </xf>
    <xf numFmtId="173" fontId="13" fillId="0" borderId="17" xfId="86" applyNumberFormat="1" applyFont="1" applyBorder="1" applyProtection="1"/>
    <xf numFmtId="173" fontId="10" fillId="0" borderId="0" xfId="86" applyNumberFormat="1" applyFont="1" applyBorder="1" applyProtection="1"/>
    <xf numFmtId="173" fontId="13" fillId="0" borderId="18" xfId="0" applyNumberFormat="1" applyFont="1" applyBorder="1"/>
    <xf numFmtId="173" fontId="10" fillId="0" borderId="11" xfId="86" applyNumberFormat="1" applyFont="1" applyBorder="1" applyProtection="1"/>
    <xf numFmtId="173" fontId="13" fillId="0" borderId="29" xfId="0" applyNumberFormat="1" applyFont="1" applyBorder="1"/>
    <xf numFmtId="173" fontId="10" fillId="0" borderId="6" xfId="86" applyNumberFormat="1" applyFont="1" applyFill="1" applyBorder="1" applyAlignment="1" applyProtection="1">
      <alignment horizontal="left"/>
    </xf>
    <xf numFmtId="173" fontId="10" fillId="0" borderId="20" xfId="86" applyNumberFormat="1" applyFont="1" applyFill="1" applyBorder="1" applyAlignment="1" applyProtection="1">
      <alignment horizontal="left"/>
    </xf>
    <xf numFmtId="173" fontId="13" fillId="0" borderId="26" xfId="0" applyNumberFormat="1" applyFont="1" applyBorder="1"/>
    <xf numFmtId="174" fontId="13" fillId="0" borderId="26" xfId="0" applyNumberFormat="1" applyFont="1" applyBorder="1"/>
    <xf numFmtId="0" fontId="10" fillId="0" borderId="0" xfId="286" applyNumberFormat="1" applyFont="1" applyAlignment="1" applyProtection="1">
      <alignment vertical="center"/>
    </xf>
    <xf numFmtId="0" fontId="107" fillId="0" borderId="0" xfId="0" applyFont="1"/>
    <xf numFmtId="0" fontId="10" fillId="0" borderId="0" xfId="286" applyNumberFormat="1" applyFont="1" applyAlignment="1" applyProtection="1">
      <alignment vertical="top"/>
    </xf>
    <xf numFmtId="0" fontId="23" fillId="0" borderId="0" xfId="0" applyFont="1"/>
    <xf numFmtId="0" fontId="111" fillId="0" borderId="0" xfId="288" applyFont="1"/>
    <xf numFmtId="0" fontId="4" fillId="0" borderId="0" xfId="288"/>
    <xf numFmtId="0" fontId="112" fillId="0" borderId="0" xfId="288" applyFont="1"/>
    <xf numFmtId="0" fontId="113" fillId="0" borderId="0" xfId="288" applyFont="1" applyAlignment="1">
      <alignment horizontal="center"/>
    </xf>
    <xf numFmtId="0" fontId="114" fillId="0" borderId="0" xfId="288" applyFont="1"/>
    <xf numFmtId="176" fontId="113" fillId="0" borderId="0" xfId="288" applyNumberFormat="1" applyFont="1" applyAlignment="1">
      <alignment horizontal="center"/>
    </xf>
    <xf numFmtId="0" fontId="113" fillId="0" borderId="0" xfId="288" applyFont="1"/>
    <xf numFmtId="176" fontId="113" fillId="0" borderId="0" xfId="288" quotePrefix="1" applyNumberFormat="1" applyFont="1" applyAlignment="1">
      <alignment horizontal="center"/>
    </xf>
    <xf numFmtId="193" fontId="113" fillId="0" borderId="0" xfId="288" quotePrefix="1" applyNumberFormat="1" applyFont="1" applyAlignment="1">
      <alignment horizontal="center"/>
    </xf>
    <xf numFmtId="0" fontId="115" fillId="0" borderId="0" xfId="288" applyFont="1"/>
    <xf numFmtId="0" fontId="43" fillId="0" borderId="0" xfId="288" applyFont="1"/>
    <xf numFmtId="0" fontId="124" fillId="0" borderId="0" xfId="0" applyFont="1" applyAlignment="1">
      <alignment horizontal="left"/>
    </xf>
    <xf numFmtId="0" fontId="124" fillId="0" borderId="0" xfId="0" applyFont="1"/>
    <xf numFmtId="0" fontId="124" fillId="0" borderId="26" xfId="0" applyFont="1" applyBorder="1" applyAlignment="1">
      <alignment horizontal="center" wrapText="1"/>
    </xf>
    <xf numFmtId="0" fontId="124" fillId="0" borderId="27" xfId="0" applyFont="1" applyBorder="1" applyAlignment="1">
      <alignment horizontal="center" wrapText="1"/>
    </xf>
    <xf numFmtId="0" fontId="124" fillId="0" borderId="27" xfId="0" applyFont="1" applyBorder="1"/>
    <xf numFmtId="170" fontId="125" fillId="0" borderId="0" xfId="0" applyNumberFormat="1" applyFont="1" applyAlignment="1">
      <alignment horizontal="right"/>
    </xf>
    <xf numFmtId="170" fontId="124" fillId="0" borderId="0" xfId="0" applyNumberFormat="1" applyFont="1" applyAlignment="1">
      <alignment horizontal="center"/>
    </xf>
    <xf numFmtId="170" fontId="124" fillId="0" borderId="0" xfId="0" applyNumberFormat="1" applyFont="1"/>
    <xf numFmtId="170" fontId="125" fillId="0" borderId="0" xfId="0" applyNumberFormat="1" applyFont="1" applyAlignment="1">
      <alignment horizontal="center"/>
    </xf>
    <xf numFmtId="170" fontId="6" fillId="0" borderId="0" xfId="0" applyNumberFormat="1" applyFont="1"/>
    <xf numFmtId="5" fontId="124" fillId="0" borderId="28" xfId="0" applyNumberFormat="1" applyFont="1" applyBorder="1" applyAlignment="1">
      <alignment horizontal="center"/>
    </xf>
    <xf numFmtId="173" fontId="124" fillId="0" borderId="0" xfId="0" applyNumberFormat="1" applyFont="1"/>
    <xf numFmtId="0" fontId="124" fillId="0" borderId="0" xfId="0" applyFont="1" applyAlignment="1">
      <alignment horizontal="center"/>
    </xf>
    <xf numFmtId="173" fontId="124" fillId="0" borderId="6" xfId="0" applyNumberFormat="1" applyFont="1" applyBorder="1"/>
    <xf numFmtId="0" fontId="124" fillId="0" borderId="6" xfId="0" applyFont="1" applyBorder="1" applyAlignment="1">
      <alignment horizontal="center"/>
    </xf>
    <xf numFmtId="0" fontId="6" fillId="0" borderId="6" xfId="0" applyFont="1" applyBorder="1"/>
    <xf numFmtId="173" fontId="124" fillId="0" borderId="0" xfId="0" applyNumberFormat="1" applyFont="1" applyAlignment="1">
      <alignment horizontal="left"/>
    </xf>
    <xf numFmtId="0" fontId="125" fillId="0" borderId="0" xfId="0" applyFont="1" applyAlignment="1">
      <alignment horizontal="left"/>
    </xf>
    <xf numFmtId="0" fontId="125" fillId="0" borderId="0" xfId="0" applyFont="1" applyAlignment="1">
      <alignment horizontal="center" wrapText="1"/>
    </xf>
    <xf numFmtId="0" fontId="125" fillId="0" borderId="0" xfId="0" applyFont="1" applyAlignment="1">
      <alignment horizontal="center"/>
    </xf>
    <xf numFmtId="173" fontId="125" fillId="0" borderId="0" xfId="0" applyNumberFormat="1" applyFont="1" applyAlignment="1">
      <alignment horizontal="center" wrapText="1"/>
    </xf>
    <xf numFmtId="173" fontId="125" fillId="0" borderId="0" xfId="0" applyNumberFormat="1" applyFont="1" applyAlignment="1">
      <alignment horizontal="center"/>
    </xf>
    <xf numFmtId="176" fontId="124" fillId="0" borderId="0" xfId="298" applyNumberFormat="1" applyFont="1" applyFill="1" applyProtection="1"/>
    <xf numFmtId="173" fontId="124" fillId="0" borderId="0" xfId="0" applyNumberFormat="1" applyFont="1" applyAlignment="1">
      <alignment horizontal="center"/>
    </xf>
    <xf numFmtId="0" fontId="126" fillId="0" borderId="0" xfId="0" applyFont="1" applyAlignment="1">
      <alignment horizontal="center"/>
    </xf>
    <xf numFmtId="173" fontId="124" fillId="0" borderId="0" xfId="90" applyNumberFormat="1" applyFont="1" applyFill="1" applyProtection="1"/>
    <xf numFmtId="176" fontId="124" fillId="0" borderId="0" xfId="0" applyNumberFormat="1" applyFont="1"/>
    <xf numFmtId="173" fontId="124" fillId="0" borderId="11" xfId="90" applyNumberFormat="1" applyFont="1" applyFill="1" applyBorder="1" applyProtection="1"/>
    <xf numFmtId="173" fontId="125" fillId="0" borderId="0" xfId="90" applyNumberFormat="1" applyFont="1" applyFill="1" applyProtection="1"/>
    <xf numFmtId="173" fontId="125" fillId="0" borderId="0" xfId="90" applyNumberFormat="1" applyFont="1" applyFill="1" applyAlignment="1" applyProtection="1">
      <alignment horizontal="center"/>
    </xf>
    <xf numFmtId="0" fontId="126" fillId="0" borderId="0" xfId="0" applyFont="1"/>
    <xf numFmtId="173" fontId="125" fillId="0" borderId="0" xfId="0" applyNumberFormat="1" applyFont="1"/>
    <xf numFmtId="195" fontId="6" fillId="0" borderId="0" xfId="0" applyNumberFormat="1" applyFont="1"/>
    <xf numFmtId="173" fontId="6" fillId="0" borderId="0" xfId="90" applyNumberFormat="1" applyFont="1" applyFill="1" applyProtection="1"/>
    <xf numFmtId="173" fontId="6" fillId="0" borderId="0" xfId="129" applyNumberFormat="1" applyFont="1" applyFill="1" applyProtection="1"/>
    <xf numFmtId="0" fontId="0" fillId="0" borderId="0" xfId="0" applyAlignment="1">
      <alignment horizontal="left"/>
    </xf>
    <xf numFmtId="0" fontId="20" fillId="33" borderId="0" xfId="86" applyNumberFormat="1" applyFont="1" applyFill="1" applyAlignment="1" applyProtection="1">
      <protection locked="0"/>
    </xf>
    <xf numFmtId="173" fontId="20" fillId="33" borderId="0" xfId="86" applyNumberFormat="1" applyFont="1" applyFill="1" applyAlignment="1" applyProtection="1">
      <alignment horizontal="right"/>
      <protection locked="0"/>
    </xf>
    <xf numFmtId="41" fontId="20" fillId="33" borderId="0" xfId="286" applyNumberFormat="1" applyFont="1" applyFill="1" applyProtection="1">
      <protection locked="0"/>
    </xf>
    <xf numFmtId="41" fontId="20" fillId="33" borderId="6" xfId="286" applyNumberFormat="1" applyFont="1" applyFill="1" applyBorder="1" applyProtection="1">
      <protection locked="0"/>
    </xf>
    <xf numFmtId="10" fontId="20" fillId="33" borderId="0" xfId="295" applyNumberFormat="1" applyFont="1" applyFill="1" applyAlignment="1" applyProtection="1">
      <protection locked="0"/>
    </xf>
    <xf numFmtId="173" fontId="9" fillId="33" borderId="0" xfId="91" applyNumberFormat="1" applyFont="1" applyFill="1" applyBorder="1" applyAlignment="1" applyProtection="1">
      <alignment horizontal="right"/>
      <protection locked="0"/>
    </xf>
    <xf numFmtId="0" fontId="33" fillId="33" borderId="0" xfId="232" applyFont="1" applyFill="1" applyProtection="1">
      <protection locked="0"/>
    </xf>
    <xf numFmtId="173" fontId="9" fillId="33" borderId="11" xfId="91" applyNumberFormat="1" applyFont="1" applyFill="1" applyBorder="1" applyAlignment="1" applyProtection="1">
      <alignment horizontal="right"/>
      <protection locked="0"/>
    </xf>
    <xf numFmtId="41" fontId="9" fillId="33" borderId="0" xfId="276" applyNumberFormat="1" applyFont="1" applyFill="1" applyProtection="1">
      <protection locked="0"/>
    </xf>
    <xf numFmtId="37" fontId="9" fillId="33" borderId="0" xfId="0" applyNumberFormat="1" applyFont="1" applyFill="1" applyProtection="1">
      <protection locked="0"/>
    </xf>
    <xf numFmtId="3" fontId="64" fillId="33" borderId="0" xfId="0" applyNumberFormat="1" applyFont="1" applyFill="1" applyProtection="1">
      <protection locked="0"/>
    </xf>
    <xf numFmtId="3" fontId="128" fillId="33" borderId="0" xfId="0" applyNumberFormat="1" applyFont="1" applyFill="1" applyProtection="1">
      <protection locked="0"/>
    </xf>
    <xf numFmtId="37" fontId="128" fillId="33" borderId="0" xfId="0" applyNumberFormat="1" applyFont="1" applyFill="1" applyProtection="1">
      <protection locked="0"/>
    </xf>
    <xf numFmtId="1" fontId="64" fillId="33" borderId="0" xfId="0" applyNumberFormat="1" applyFont="1" applyFill="1" applyAlignment="1" applyProtection="1">
      <alignment horizontal="left"/>
      <protection locked="0"/>
    </xf>
    <xf numFmtId="38" fontId="64" fillId="0" borderId="15" xfId="0" applyNumberFormat="1" applyFont="1" applyBorder="1"/>
    <xf numFmtId="173" fontId="9" fillId="0" borderId="0" xfId="86" applyNumberFormat="1" applyFont="1" applyFill="1" applyProtection="1"/>
    <xf numFmtId="173" fontId="0" fillId="0" borderId="11" xfId="0" applyNumberFormat="1" applyBorder="1"/>
    <xf numFmtId="173" fontId="9" fillId="33" borderId="0" xfId="125" applyNumberFormat="1" applyFont="1" applyFill="1" applyProtection="1">
      <protection locked="0"/>
    </xf>
    <xf numFmtId="0" fontId="20" fillId="33" borderId="0" xfId="276" applyFont="1" applyFill="1" applyAlignment="1" applyProtection="1">
      <alignment horizontal="center"/>
      <protection locked="0"/>
    </xf>
    <xf numFmtId="3" fontId="20" fillId="33" borderId="0" xfId="0" applyNumberFormat="1" applyFont="1" applyFill="1" applyProtection="1">
      <protection locked="0"/>
    </xf>
    <xf numFmtId="41" fontId="20" fillId="33" borderId="0" xfId="276" applyNumberFormat="1" applyFont="1" applyFill="1" applyProtection="1">
      <protection locked="0"/>
    </xf>
    <xf numFmtId="173" fontId="79" fillId="33" borderId="0" xfId="287" applyNumberFormat="1" applyFont="1" applyFill="1" applyProtection="1">
      <protection locked="0"/>
    </xf>
    <xf numFmtId="0" fontId="72" fillId="33" borderId="0" xfId="287" applyFont="1" applyFill="1" applyAlignment="1" applyProtection="1">
      <alignment horizontal="center"/>
      <protection locked="0"/>
    </xf>
    <xf numFmtId="0" fontId="9" fillId="33" borderId="0" xfId="86" applyNumberFormat="1" applyFont="1" applyFill="1" applyAlignment="1" applyProtection="1">
      <protection locked="0"/>
    </xf>
    <xf numFmtId="173" fontId="3" fillId="33" borderId="6" xfId="286" applyNumberFormat="1" applyFont="1" applyFill="1" applyBorder="1" applyAlignment="1" applyProtection="1">
      <alignment horizontal="center"/>
      <protection locked="0"/>
    </xf>
    <xf numFmtId="0" fontId="20" fillId="33" borderId="0" xfId="86" applyNumberFormat="1" applyFont="1" applyFill="1" applyAlignment="1" applyProtection="1">
      <alignment horizontal="left"/>
      <protection locked="0"/>
    </xf>
    <xf numFmtId="173" fontId="161" fillId="33" borderId="18" xfId="86" applyNumberFormat="1" applyFont="1" applyFill="1" applyBorder="1" applyAlignment="1" applyProtection="1">
      <alignment horizontal="right"/>
      <protection locked="0"/>
    </xf>
    <xf numFmtId="173" fontId="9" fillId="33" borderId="18" xfId="86" applyNumberFormat="1" applyFont="1" applyFill="1" applyBorder="1" applyAlignment="1" applyProtection="1">
      <alignment horizontal="right"/>
      <protection locked="0"/>
    </xf>
    <xf numFmtId="0" fontId="9" fillId="33" borderId="20" xfId="0" applyFont="1" applyFill="1" applyBorder="1" applyAlignment="1" applyProtection="1">
      <alignment horizontal="right"/>
      <protection locked="0"/>
    </xf>
    <xf numFmtId="173" fontId="9" fillId="33" borderId="18" xfId="0" applyNumberFormat="1" applyFont="1" applyFill="1" applyBorder="1" applyAlignment="1" applyProtection="1">
      <alignment horizontal="right"/>
      <protection locked="0"/>
    </xf>
    <xf numFmtId="174" fontId="9" fillId="33" borderId="26" xfId="0" applyNumberFormat="1" applyFont="1" applyFill="1" applyBorder="1" applyProtection="1">
      <protection locked="0"/>
    </xf>
    <xf numFmtId="174" fontId="9" fillId="33" borderId="27" xfId="0" applyNumberFormat="1" applyFont="1" applyFill="1" applyBorder="1" applyProtection="1">
      <protection locked="0"/>
    </xf>
    <xf numFmtId="174" fontId="9" fillId="33" borderId="28" xfId="0" applyNumberFormat="1" applyFont="1" applyFill="1" applyBorder="1" applyProtection="1">
      <protection locked="0"/>
    </xf>
    <xf numFmtId="174" fontId="13" fillId="33" borderId="0" xfId="0" applyNumberFormat="1" applyFont="1" applyFill="1" applyProtection="1">
      <protection locked="0"/>
    </xf>
    <xf numFmtId="174" fontId="13" fillId="33" borderId="6" xfId="0" applyNumberFormat="1" applyFont="1" applyFill="1" applyBorder="1" applyProtection="1">
      <protection locked="0"/>
    </xf>
    <xf numFmtId="0" fontId="70" fillId="33" borderId="0" xfId="0" applyFont="1" applyFill="1" applyAlignment="1" applyProtection="1">
      <alignment horizontal="left"/>
      <protection locked="0"/>
    </xf>
    <xf numFmtId="0" fontId="9" fillId="33" borderId="18" xfId="0" applyFont="1" applyFill="1" applyBorder="1" applyAlignment="1" applyProtection="1">
      <alignment horizontal="right"/>
      <protection locked="0"/>
    </xf>
    <xf numFmtId="0" fontId="18" fillId="0" borderId="0" xfId="276" applyFont="1" applyAlignment="1">
      <alignment wrapText="1"/>
    </xf>
    <xf numFmtId="173" fontId="9" fillId="33" borderId="0" xfId="90" applyNumberFormat="1" applyFont="1" applyFill="1" applyBorder="1" applyProtection="1">
      <protection locked="0"/>
    </xf>
    <xf numFmtId="173" fontId="21" fillId="33" borderId="0" xfId="86" applyNumberFormat="1" applyFont="1" applyFill="1" applyProtection="1">
      <protection locked="0"/>
    </xf>
    <xf numFmtId="189" fontId="21" fillId="33" borderId="0" xfId="0" applyNumberFormat="1" applyFont="1" applyFill="1" applyProtection="1">
      <protection locked="0"/>
    </xf>
    <xf numFmtId="0" fontId="0" fillId="33" borderId="0" xfId="0" applyFill="1" applyAlignment="1" applyProtection="1">
      <alignment horizontal="center"/>
      <protection locked="0"/>
    </xf>
    <xf numFmtId="0" fontId="21" fillId="33" borderId="0" xfId="0" applyFont="1" applyFill="1" applyProtection="1">
      <protection locked="0"/>
    </xf>
    <xf numFmtId="170" fontId="124" fillId="33" borderId="28" xfId="0" applyNumberFormat="1" applyFont="1" applyFill="1" applyBorder="1" applyAlignment="1" applyProtection="1">
      <alignment horizontal="center"/>
      <protection locked="0"/>
    </xf>
    <xf numFmtId="176" fontId="124" fillId="33" borderId="0" xfId="298" applyNumberFormat="1" applyFont="1" applyFill="1" applyProtection="1">
      <protection locked="0"/>
    </xf>
    <xf numFmtId="197" fontId="162" fillId="31" borderId="0" xfId="0" applyNumberFormat="1" applyFont="1" applyFill="1" applyAlignment="1">
      <alignment horizontal="right"/>
    </xf>
    <xf numFmtId="41" fontId="9" fillId="33" borderId="0" xfId="277" applyNumberFormat="1" applyFont="1" applyFill="1"/>
    <xf numFmtId="41" fontId="9" fillId="33" borderId="11" xfId="277" applyNumberFormat="1" applyFont="1" applyFill="1" applyBorder="1"/>
    <xf numFmtId="173" fontId="9" fillId="0" borderId="0" xfId="125" applyNumberFormat="1" applyFont="1" applyFill="1" applyProtection="1">
      <protection locked="0"/>
    </xf>
    <xf numFmtId="0" fontId="132" fillId="0" borderId="0" xfId="0" applyFont="1" applyAlignment="1">
      <alignment vertical="center"/>
    </xf>
    <xf numFmtId="0" fontId="82" fillId="0" borderId="0" xfId="232" applyFont="1" applyAlignment="1">
      <alignment horizontal="center"/>
    </xf>
    <xf numFmtId="173" fontId="79" fillId="0" borderId="0" xfId="287" applyNumberFormat="1" applyFont="1" applyProtection="1">
      <protection locked="0"/>
    </xf>
    <xf numFmtId="0" fontId="72" fillId="0" borderId="0" xfId="287" applyFont="1" applyAlignment="1" applyProtection="1">
      <alignment horizontal="center"/>
      <protection locked="0"/>
    </xf>
    <xf numFmtId="0" fontId="133" fillId="0" borderId="0" xfId="0" applyFont="1" applyAlignment="1">
      <alignment horizontal="center"/>
    </xf>
    <xf numFmtId="172" fontId="13" fillId="0" borderId="0" xfId="282" applyFont="1"/>
    <xf numFmtId="0" fontId="13" fillId="0" borderId="0" xfId="289"/>
    <xf numFmtId="173" fontId="13" fillId="0" borderId="14" xfId="90" applyNumberFormat="1" applyFont="1" applyBorder="1"/>
    <xf numFmtId="173" fontId="13" fillId="0" borderId="31" xfId="90" applyNumberFormat="1" applyFont="1" applyBorder="1"/>
    <xf numFmtId="0" fontId="13" fillId="0" borderId="14" xfId="0" applyFont="1" applyBorder="1" applyAlignment="1">
      <alignment horizontal="center"/>
    </xf>
    <xf numFmtId="0" fontId="13" fillId="0" borderId="33" xfId="0" applyFont="1" applyBorder="1" applyAlignment="1">
      <alignment horizontal="center"/>
    </xf>
    <xf numFmtId="0" fontId="13" fillId="0" borderId="34" xfId="0" applyFont="1" applyBorder="1" applyAlignment="1">
      <alignment horizontal="center"/>
    </xf>
    <xf numFmtId="0" fontId="133" fillId="0" borderId="0" xfId="0" applyFont="1"/>
    <xf numFmtId="0" fontId="10" fillId="0" borderId="0" xfId="289" applyFont="1" applyAlignment="1">
      <alignment horizontal="center"/>
    </xf>
    <xf numFmtId="0" fontId="10" fillId="0" borderId="32" xfId="289" applyFont="1" applyBorder="1" applyAlignment="1">
      <alignment horizontal="center"/>
    </xf>
    <xf numFmtId="0" fontId="10" fillId="0" borderId="34" xfId="289" applyFont="1" applyBorder="1" applyAlignment="1">
      <alignment horizontal="center"/>
    </xf>
    <xf numFmtId="0" fontId="10" fillId="0" borderId="32" xfId="289" applyFont="1" applyBorder="1" applyAlignment="1">
      <alignment horizontal="center" wrapText="1"/>
    </xf>
    <xf numFmtId="0" fontId="10" fillId="0" borderId="0" xfId="289" applyFont="1" applyAlignment="1">
      <alignment horizontal="center" wrapText="1"/>
    </xf>
    <xf numFmtId="0" fontId="10" fillId="0" borderId="34" xfId="289" applyFont="1" applyBorder="1" applyAlignment="1">
      <alignment horizontal="center" wrapText="1"/>
    </xf>
    <xf numFmtId="0" fontId="13" fillId="0" borderId="34" xfId="0" applyFont="1" applyBorder="1" applyAlignment="1">
      <alignment horizontal="center" wrapText="1"/>
    </xf>
    <xf numFmtId="0" fontId="10" fillId="0" borderId="2" xfId="289" applyFont="1" applyBorder="1" applyAlignment="1">
      <alignment horizontal="centerContinuous" wrapText="1"/>
    </xf>
    <xf numFmtId="0" fontId="13" fillId="0" borderId="37" xfId="0" applyFont="1" applyBorder="1" applyAlignment="1">
      <alignment horizontal="center"/>
    </xf>
    <xf numFmtId="37" fontId="13" fillId="0" borderId="0" xfId="289" applyNumberFormat="1"/>
    <xf numFmtId="0" fontId="13" fillId="0" borderId="39" xfId="289" applyBorder="1" applyAlignment="1">
      <alignment horizontal="right"/>
    </xf>
    <xf numFmtId="0" fontId="13" fillId="0" borderId="40" xfId="0" applyFont="1" applyBorder="1" applyAlignment="1">
      <alignment horizontal="center"/>
    </xf>
    <xf numFmtId="0" fontId="13" fillId="0" borderId="35" xfId="289" applyBorder="1"/>
    <xf numFmtId="0" fontId="13" fillId="0" borderId="32" xfId="289" applyBorder="1"/>
    <xf numFmtId="0" fontId="13" fillId="0" borderId="32" xfId="289" quotePrefix="1" applyBorder="1" applyAlignment="1">
      <alignment horizontal="left"/>
    </xf>
    <xf numFmtId="3" fontId="25" fillId="0" borderId="11" xfId="232" applyNumberFormat="1" applyFont="1" applyBorder="1" applyAlignment="1">
      <alignment horizontal="center" wrapText="1"/>
    </xf>
    <xf numFmtId="0" fontId="10" fillId="0" borderId="36" xfId="289" applyFont="1" applyBorder="1" applyAlignment="1">
      <alignment horizontal="center" wrapText="1"/>
    </xf>
    <xf numFmtId="0" fontId="13" fillId="0" borderId="37" xfId="0" applyFont="1" applyBorder="1" applyAlignment="1">
      <alignment horizontal="center" wrapText="1"/>
    </xf>
    <xf numFmtId="0" fontId="10" fillId="0" borderId="0" xfId="289" applyFont="1" applyAlignment="1">
      <alignment horizontal="centerContinuous"/>
    </xf>
    <xf numFmtId="0" fontId="13" fillId="0" borderId="0" xfId="210"/>
    <xf numFmtId="0" fontId="13" fillId="0" borderId="0" xfId="289" applyAlignment="1">
      <alignment horizontal="left"/>
    </xf>
    <xf numFmtId="0" fontId="18" fillId="0" borderId="0" xfId="232" applyFont="1" applyAlignment="1">
      <alignment horizontal="center" vertical="center"/>
    </xf>
    <xf numFmtId="0" fontId="18" fillId="0" borderId="0" xfId="276" applyFont="1" applyAlignment="1">
      <alignment horizontal="center" vertical="center" wrapText="1"/>
    </xf>
    <xf numFmtId="0" fontId="18" fillId="0" borderId="0" xfId="232" quotePrefix="1" applyFont="1" applyAlignment="1">
      <alignment horizontal="center" vertical="center" wrapText="1"/>
    </xf>
    <xf numFmtId="0" fontId="18" fillId="0" borderId="0" xfId="232" applyFont="1" applyAlignment="1">
      <alignment horizontal="left" vertical="center"/>
    </xf>
    <xf numFmtId="173" fontId="0" fillId="0" borderId="11" xfId="86" applyNumberFormat="1" applyFont="1" applyFill="1" applyBorder="1"/>
    <xf numFmtId="173" fontId="64" fillId="0" borderId="0" xfId="86" applyNumberFormat="1" applyFont="1" applyFill="1" applyAlignment="1" applyProtection="1">
      <alignment horizontal="left"/>
      <protection locked="0"/>
    </xf>
    <xf numFmtId="173" fontId="64" fillId="0" borderId="11" xfId="86" applyNumberFormat="1" applyFont="1" applyFill="1" applyBorder="1" applyAlignment="1" applyProtection="1">
      <alignment horizontal="left"/>
      <protection locked="0"/>
    </xf>
    <xf numFmtId="0" fontId="16" fillId="0" borderId="0" xfId="0" applyFont="1"/>
    <xf numFmtId="0" fontId="16" fillId="0" borderId="0" xfId="0" applyFont="1" applyAlignment="1">
      <alignment horizontal="center"/>
    </xf>
    <xf numFmtId="0" fontId="16" fillId="0" borderId="0" xfId="0" applyFont="1" applyAlignment="1">
      <alignment horizontal="right"/>
    </xf>
    <xf numFmtId="0" fontId="97" fillId="0" borderId="0" xfId="289" applyFont="1" applyAlignment="1">
      <alignment horizontal="centerContinuous"/>
    </xf>
    <xf numFmtId="0" fontId="16" fillId="0" borderId="0" xfId="289" applyFont="1" applyAlignment="1">
      <alignment horizontal="left"/>
    </xf>
    <xf numFmtId="0" fontId="97" fillId="0" borderId="0" xfId="289" applyFont="1" applyAlignment="1">
      <alignment horizontal="center"/>
    </xf>
    <xf numFmtId="0" fontId="10" fillId="0" borderId="41" xfId="289" applyFont="1" applyBorder="1" applyAlignment="1">
      <alignment horizontal="center" wrapText="1"/>
    </xf>
    <xf numFmtId="0" fontId="16" fillId="0" borderId="0" xfId="0" applyFont="1" applyAlignment="1">
      <alignment wrapText="1"/>
    </xf>
    <xf numFmtId="0" fontId="10" fillId="0" borderId="10" xfId="289" applyFont="1" applyBorder="1" applyAlignment="1">
      <alignment horizontal="center"/>
    </xf>
    <xf numFmtId="0" fontId="134" fillId="0" borderId="0" xfId="0" applyFont="1"/>
    <xf numFmtId="3" fontId="25" fillId="0" borderId="33" xfId="232" applyNumberFormat="1" applyFont="1" applyBorder="1" applyAlignment="1">
      <alignment horizontal="center" wrapText="1"/>
    </xf>
    <xf numFmtId="3" fontId="25" fillId="0" borderId="42" xfId="232" applyNumberFormat="1" applyFont="1" applyBorder="1" applyAlignment="1">
      <alignment wrapText="1"/>
    </xf>
    <xf numFmtId="173" fontId="9" fillId="30" borderId="0" xfId="116" applyNumberFormat="1" applyFont="1" applyFill="1" applyAlignment="1" applyProtection="1">
      <protection locked="0"/>
    </xf>
    <xf numFmtId="41" fontId="13" fillId="0" borderId="10" xfId="289" applyNumberFormat="1" applyBorder="1"/>
    <xf numFmtId="173" fontId="13" fillId="0" borderId="43" xfId="90" applyNumberFormat="1" applyFont="1" applyBorder="1"/>
    <xf numFmtId="3" fontId="25" fillId="0" borderId="42" xfId="232" applyNumberFormat="1" applyFont="1" applyBorder="1" applyAlignment="1">
      <alignment horizontal="center" wrapText="1"/>
    </xf>
    <xf numFmtId="0" fontId="16" fillId="0" borderId="0" xfId="289" applyFont="1"/>
    <xf numFmtId="37" fontId="16" fillId="0" borderId="0" xfId="289" applyNumberFormat="1" applyFont="1"/>
    <xf numFmtId="172" fontId="16" fillId="0" borderId="0" xfId="282" applyFont="1"/>
    <xf numFmtId="0" fontId="13" fillId="0" borderId="0" xfId="278" applyAlignment="1">
      <alignment vertical="top"/>
    </xf>
    <xf numFmtId="0" fontId="134" fillId="0" borderId="0" xfId="0" applyFont="1" applyAlignment="1">
      <alignment horizontal="center"/>
    </xf>
    <xf numFmtId="0" fontId="96" fillId="0" borderId="0" xfId="279" applyFont="1"/>
    <xf numFmtId="0" fontId="97" fillId="0" borderId="0" xfId="0" applyFont="1" applyAlignment="1">
      <alignment horizontal="center"/>
    </xf>
    <xf numFmtId="0" fontId="97" fillId="0" borderId="0" xfId="0" quotePrefix="1" applyFont="1" applyAlignment="1">
      <alignment horizontal="center"/>
    </xf>
    <xf numFmtId="0" fontId="10" fillId="0" borderId="0" xfId="279" applyFont="1" applyAlignment="1">
      <alignment horizontal="left"/>
    </xf>
    <xf numFmtId="173" fontId="13" fillId="0" borderId="0" xfId="90" applyNumberFormat="1" applyFont="1" applyFill="1" applyProtection="1"/>
    <xf numFmtId="0" fontId="13" fillId="0" borderId="0" xfId="279"/>
    <xf numFmtId="0" fontId="13" fillId="0" borderId="0" xfId="204"/>
    <xf numFmtId="0" fontId="13" fillId="0" borderId="0" xfId="279" applyAlignment="1">
      <alignment horizontal="left"/>
    </xf>
    <xf numFmtId="173" fontId="9" fillId="33" borderId="0" xfId="90" applyNumberFormat="1" applyFont="1" applyFill="1" applyProtection="1">
      <protection locked="0"/>
    </xf>
    <xf numFmtId="0" fontId="13" fillId="0" borderId="0" xfId="278" applyAlignment="1">
      <alignment horizontal="left"/>
    </xf>
    <xf numFmtId="173" fontId="9" fillId="0" borderId="0" xfId="90" applyNumberFormat="1" applyFont="1" applyFill="1" applyProtection="1">
      <protection locked="0"/>
    </xf>
    <xf numFmtId="10" fontId="13" fillId="0" borderId="0" xfId="298" applyNumberFormat="1" applyFont="1" applyFill="1" applyBorder="1" applyProtection="1"/>
    <xf numFmtId="173" fontId="9" fillId="30" borderId="6" xfId="90" applyNumberFormat="1" applyFont="1" applyFill="1" applyBorder="1" applyAlignment="1" applyProtection="1">
      <protection locked="0"/>
    </xf>
    <xf numFmtId="10" fontId="10" fillId="0" borderId="0" xfId="298" applyNumberFormat="1" applyFont="1" applyFill="1" applyBorder="1" applyProtection="1"/>
    <xf numFmtId="0" fontId="10" fillId="0" borderId="0" xfId="279" applyFont="1"/>
    <xf numFmtId="173" fontId="13" fillId="0" borderId="0" xfId="298" applyNumberFormat="1" applyFont="1" applyFill="1" applyBorder="1" applyProtection="1"/>
    <xf numFmtId="10" fontId="10" fillId="0" borderId="44" xfId="298" applyNumberFormat="1" applyFont="1" applyFill="1" applyBorder="1" applyProtection="1"/>
    <xf numFmtId="0" fontId="106" fillId="0" borderId="0" xfId="204" applyFont="1" applyAlignment="1">
      <alignment horizontal="center"/>
    </xf>
    <xf numFmtId="0" fontId="16" fillId="0" borderId="0" xfId="279" applyFont="1"/>
    <xf numFmtId="41" fontId="10" fillId="0" borderId="0" xfId="279" applyNumberFormat="1" applyFont="1" applyAlignment="1">
      <alignment horizontal="center" wrapText="1"/>
    </xf>
    <xf numFmtId="0" fontId="10" fillId="0" borderId="0" xfId="279" applyFont="1" applyAlignment="1">
      <alignment horizontal="center" wrapText="1"/>
    </xf>
    <xf numFmtId="0" fontId="9" fillId="33" borderId="0" xfId="279" applyFont="1" applyFill="1" applyProtection="1">
      <protection locked="0"/>
    </xf>
    <xf numFmtId="173" fontId="16" fillId="0" borderId="0" xfId="279" applyNumberFormat="1" applyFont="1"/>
    <xf numFmtId="196" fontId="9" fillId="33" borderId="0" xfId="279" applyNumberFormat="1" applyFont="1" applyFill="1" applyProtection="1">
      <protection locked="0"/>
    </xf>
    <xf numFmtId="37" fontId="9" fillId="33" borderId="0" xfId="279" applyNumberFormat="1" applyFont="1" applyFill="1" applyProtection="1">
      <protection locked="0"/>
    </xf>
    <xf numFmtId="173" fontId="9" fillId="33" borderId="0" xfId="279" applyNumberFormat="1" applyFont="1" applyFill="1" applyProtection="1">
      <protection locked="0"/>
    </xf>
    <xf numFmtId="0" fontId="86" fillId="33" borderId="0" xfId="279" applyFont="1" applyFill="1" applyProtection="1">
      <protection locked="0"/>
    </xf>
    <xf numFmtId="0" fontId="13" fillId="0" borderId="11" xfId="0" applyFont="1" applyBorder="1"/>
    <xf numFmtId="0" fontId="16" fillId="0" borderId="11" xfId="279" applyFont="1" applyBorder="1"/>
    <xf numFmtId="0" fontId="13" fillId="31" borderId="0" xfId="279" applyFill="1" applyAlignment="1">
      <alignment horizontal="left"/>
    </xf>
    <xf numFmtId="41" fontId="13" fillId="0" borderId="0" xfId="298" applyNumberFormat="1" applyFont="1" applyFill="1" applyBorder="1" applyProtection="1"/>
    <xf numFmtId="185" fontId="13" fillId="0" borderId="0" xfId="90" applyNumberFormat="1" applyFont="1" applyFill="1" applyBorder="1" applyProtection="1"/>
    <xf numFmtId="10" fontId="16" fillId="0" borderId="0" xfId="298" applyNumberFormat="1" applyFont="1" applyFill="1" applyProtection="1"/>
    <xf numFmtId="173" fontId="13" fillId="0" borderId="0" xfId="90" applyNumberFormat="1" applyFont="1" applyFill="1" applyBorder="1" applyProtection="1"/>
    <xf numFmtId="173" fontId="10" fillId="0" borderId="44" xfId="90" applyNumberFormat="1" applyFont="1" applyFill="1" applyBorder="1" applyProtection="1"/>
    <xf numFmtId="0" fontId="96" fillId="0" borderId="0" xfId="279" applyFont="1" applyAlignment="1">
      <alignment horizontal="left"/>
    </xf>
    <xf numFmtId="0" fontId="16" fillId="0" borderId="0" xfId="279" applyFont="1" applyAlignment="1">
      <alignment horizontal="left"/>
    </xf>
    <xf numFmtId="0" fontId="18" fillId="0" borderId="0" xfId="279" applyFont="1" applyAlignment="1">
      <alignment horizontal="left"/>
    </xf>
    <xf numFmtId="0" fontId="18" fillId="0" borderId="0" xfId="279" applyFont="1" applyAlignment="1">
      <alignment horizontal="center" wrapText="1"/>
    </xf>
    <xf numFmtId="164" fontId="9" fillId="33" borderId="0" xfId="298" applyNumberFormat="1" applyFont="1" applyFill="1" applyAlignment="1" applyProtection="1">
      <alignment horizontal="right" wrapText="1"/>
      <protection locked="0"/>
    </xf>
    <xf numFmtId="44" fontId="9" fillId="33" borderId="0" xfId="129" applyFont="1" applyFill="1" applyAlignment="1" applyProtection="1">
      <alignment horizontal="right" wrapText="1"/>
      <protection locked="0"/>
    </xf>
    <xf numFmtId="41" fontId="9" fillId="0" borderId="0" xfId="279" applyNumberFormat="1" applyFont="1"/>
    <xf numFmtId="173" fontId="13" fillId="0" borderId="0" xfId="90" applyNumberFormat="1" applyFill="1" applyProtection="1"/>
    <xf numFmtId="41" fontId="13" fillId="0" borderId="0" xfId="279" applyNumberFormat="1"/>
    <xf numFmtId="41" fontId="97" fillId="0" borderId="0" xfId="279" applyNumberFormat="1" applyFont="1"/>
    <xf numFmtId="41" fontId="13" fillId="0" borderId="12" xfId="279" applyNumberFormat="1" applyBorder="1"/>
    <xf numFmtId="41" fontId="10" fillId="0" borderId="41" xfId="279" applyNumberFormat="1" applyFont="1" applyBorder="1"/>
    <xf numFmtId="3" fontId="0" fillId="0" borderId="0" xfId="0" applyNumberFormat="1"/>
    <xf numFmtId="0" fontId="14" fillId="0" borderId="0" xfId="0" applyFont="1" applyAlignment="1">
      <alignment horizontal="center"/>
    </xf>
    <xf numFmtId="3" fontId="0" fillId="0" borderId="0" xfId="0" applyNumberFormat="1" applyAlignment="1">
      <alignment horizontal="centerContinuous"/>
    </xf>
    <xf numFmtId="3" fontId="14" fillId="0" borderId="0" xfId="0" applyNumberFormat="1" applyFont="1" applyAlignment="1">
      <alignment horizontal="centerContinuous"/>
    </xf>
    <xf numFmtId="3" fontId="13"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4" borderId="0" xfId="0" applyNumberFormat="1" applyFill="1"/>
    <xf numFmtId="37" fontId="0" fillId="0" borderId="45" xfId="0" applyNumberFormat="1" applyBorder="1"/>
    <xf numFmtId="37" fontId="0" fillId="0" borderId="46" xfId="0" applyNumberFormat="1" applyBorder="1"/>
    <xf numFmtId="37" fontId="0" fillId="35" borderId="0" xfId="0" applyNumberFormat="1" applyFill="1"/>
    <xf numFmtId="37" fontId="13" fillId="0" borderId="0" xfId="0" applyNumberFormat="1" applyFont="1"/>
    <xf numFmtId="37" fontId="0" fillId="0" borderId="47"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3" fillId="0" borderId="46" xfId="0" applyNumberFormat="1" applyFont="1" applyBorder="1"/>
    <xf numFmtId="37" fontId="163" fillId="0" borderId="0" xfId="0" applyNumberFormat="1" applyFont="1"/>
    <xf numFmtId="186" fontId="13" fillId="0" borderId="0" xfId="276" applyNumberFormat="1" applyFont="1"/>
    <xf numFmtId="3" fontId="13" fillId="0" borderId="0" xfId="0" applyNumberFormat="1" applyFont="1" applyAlignment="1">
      <alignment horizontal="center"/>
    </xf>
    <xf numFmtId="4" fontId="13" fillId="0" borderId="0" xfId="0" applyNumberFormat="1" applyFont="1" applyAlignment="1">
      <alignment horizontal="center"/>
    </xf>
    <xf numFmtId="0" fontId="164" fillId="0" borderId="0" xfId="286" applyNumberFormat="1" applyFont="1" applyAlignment="1" applyProtection="1">
      <alignment horizontal="center"/>
    </xf>
    <xf numFmtId="172" fontId="165" fillId="0" borderId="0" xfId="286" applyFont="1" applyProtection="1"/>
    <xf numFmtId="198" fontId="9" fillId="33" borderId="0" xfId="276" applyNumberFormat="1" applyFont="1" applyFill="1" applyProtection="1">
      <protection locked="0"/>
    </xf>
    <xf numFmtId="0" fontId="166" fillId="0" borderId="0" xfId="0" applyFont="1" applyAlignment="1">
      <alignment horizontal="left"/>
    </xf>
    <xf numFmtId="10" fontId="72" fillId="33" borderId="0" xfId="295" applyNumberFormat="1" applyFont="1" applyFill="1" applyAlignment="1" applyProtection="1">
      <alignment horizontal="center"/>
      <protection locked="0"/>
    </xf>
    <xf numFmtId="10" fontId="72" fillId="33" borderId="0" xfId="287" applyNumberFormat="1" applyFont="1" applyFill="1" applyAlignment="1" applyProtection="1">
      <alignment horizontal="center"/>
      <protection locked="0"/>
    </xf>
    <xf numFmtId="173" fontId="19" fillId="0" borderId="0" xfId="287" applyNumberFormat="1" applyFont="1"/>
    <xf numFmtId="0" fontId="19" fillId="0" borderId="0" xfId="287" applyFont="1" applyAlignment="1">
      <alignment horizontal="center" vertical="center"/>
    </xf>
    <xf numFmtId="0" fontId="19" fillId="0" borderId="0" xfId="287" applyFont="1" applyAlignment="1">
      <alignment vertical="center"/>
    </xf>
    <xf numFmtId="0" fontId="167" fillId="0" borderId="0" xfId="287" applyFont="1" applyAlignment="1">
      <alignment horizontal="right"/>
    </xf>
    <xf numFmtId="173" fontId="167" fillId="0" borderId="0" xfId="287" applyNumberFormat="1" applyFont="1"/>
    <xf numFmtId="0" fontId="19" fillId="0" borderId="0" xfId="287" applyFont="1" applyAlignment="1">
      <alignment horizontal="left" indent="2"/>
    </xf>
    <xf numFmtId="173" fontId="168" fillId="0" borderId="0" xfId="287" applyNumberFormat="1" applyFont="1"/>
    <xf numFmtId="0" fontId="139" fillId="0" borderId="0" xfId="287" applyFont="1" applyAlignment="1">
      <alignment horizontal="center"/>
    </xf>
    <xf numFmtId="0" fontId="139" fillId="0" borderId="0" xfId="287" applyFont="1"/>
    <xf numFmtId="0" fontId="140" fillId="0" borderId="0" xfId="287" applyFont="1"/>
    <xf numFmtId="173" fontId="139" fillId="0" borderId="0" xfId="287" applyNumberFormat="1" applyFont="1"/>
    <xf numFmtId="0" fontId="169" fillId="0" borderId="11" xfId="287" applyFont="1" applyBorder="1" applyAlignment="1">
      <alignment horizontal="center"/>
    </xf>
    <xf numFmtId="0" fontId="169" fillId="0" borderId="2" xfId="287" applyFont="1" applyBorder="1" applyAlignment="1">
      <alignment horizontal="center"/>
    </xf>
    <xf numFmtId="0" fontId="75" fillId="0" borderId="0" xfId="287" applyFont="1" applyAlignment="1">
      <alignment horizontal="center" vertical="center"/>
    </xf>
    <xf numFmtId="0" fontId="19" fillId="0" borderId="11" xfId="287" applyFont="1" applyBorder="1" applyAlignment="1">
      <alignment horizontal="center"/>
    </xf>
    <xf numFmtId="0" fontId="19" fillId="0" borderId="11" xfId="287" applyFont="1" applyBorder="1"/>
    <xf numFmtId="173" fontId="79" fillId="0" borderId="11" xfId="287" applyNumberFormat="1" applyFont="1" applyBorder="1" applyProtection="1">
      <protection locked="0"/>
    </xf>
    <xf numFmtId="173" fontId="72" fillId="0" borderId="11" xfId="287" applyNumberFormat="1" applyFont="1" applyBorder="1"/>
    <xf numFmtId="0" fontId="72" fillId="0" borderId="11" xfId="287" applyFont="1" applyBorder="1" applyAlignment="1" applyProtection="1">
      <alignment horizontal="center"/>
      <protection locked="0"/>
    </xf>
    <xf numFmtId="173" fontId="72" fillId="0" borderId="11" xfId="86" applyNumberFormat="1" applyFont="1" applyFill="1" applyBorder="1" applyAlignment="1" applyProtection="1">
      <alignment horizontal="center"/>
      <protection locked="0"/>
    </xf>
    <xf numFmtId="0" fontId="141" fillId="0" borderId="0" xfId="286" applyNumberFormat="1" applyFont="1" applyAlignment="1" applyProtection="1">
      <alignment horizontal="center"/>
    </xf>
    <xf numFmtId="172" fontId="164" fillId="0" borderId="0" xfId="286" applyFont="1" applyProtection="1"/>
    <xf numFmtId="0" fontId="9" fillId="33" borderId="0" xfId="91" applyNumberFormat="1" applyFont="1" applyFill="1" applyBorder="1" applyAlignment="1" applyProtection="1">
      <alignment horizontal="center"/>
      <protection locked="0"/>
    </xf>
    <xf numFmtId="41" fontId="9" fillId="33" borderId="0" xfId="278" applyNumberFormat="1" applyFont="1" applyFill="1"/>
    <xf numFmtId="3" fontId="15" fillId="0" borderId="0" xfId="286" applyNumberFormat="1" applyFont="1" applyAlignment="1" applyProtection="1">
      <alignment horizontal="center"/>
    </xf>
    <xf numFmtId="41" fontId="6" fillId="0" borderId="40" xfId="286" applyNumberFormat="1" applyFont="1" applyBorder="1" applyProtection="1"/>
    <xf numFmtId="0" fontId="64" fillId="0" borderId="0" xfId="0" applyFont="1"/>
    <xf numFmtId="3" fontId="10" fillId="0" borderId="0" xfId="0" applyNumberFormat="1" applyFont="1" applyAlignment="1">
      <alignment horizontal="left"/>
    </xf>
    <xf numFmtId="0" fontId="13" fillId="0" borderId="0" xfId="0" applyFont="1" applyAlignment="1">
      <alignment horizontal="left"/>
    </xf>
    <xf numFmtId="0" fontId="14" fillId="0" borderId="0" xfId="0" applyFont="1" applyAlignment="1">
      <alignment horizontal="left"/>
    </xf>
    <xf numFmtId="0" fontId="13" fillId="0" borderId="0" xfId="0" applyFont="1" applyAlignment="1">
      <alignment vertical="top"/>
    </xf>
    <xf numFmtId="0" fontId="109" fillId="0" borderId="0" xfId="0" applyFont="1" applyAlignment="1">
      <alignment horizontal="center"/>
    </xf>
    <xf numFmtId="0" fontId="13" fillId="0" borderId="0" xfId="290" applyFont="1" applyAlignment="1">
      <alignment horizontal="center"/>
    </xf>
    <xf numFmtId="38" fontId="9" fillId="0" borderId="0" xfId="0" applyNumberFormat="1" applyFont="1" applyProtection="1">
      <protection locked="0"/>
    </xf>
    <xf numFmtId="0" fontId="7" fillId="0" borderId="0" xfId="277" applyFont="1"/>
    <xf numFmtId="0" fontId="74" fillId="0" borderId="0" xfId="287" applyFont="1" applyAlignment="1">
      <alignment vertical="center" wrapText="1"/>
    </xf>
    <xf numFmtId="0" fontId="7" fillId="0" borderId="0" xfId="276" quotePrefix="1" applyFont="1" applyAlignment="1">
      <alignment horizontal="center"/>
    </xf>
    <xf numFmtId="0" fontId="5" fillId="0" borderId="11" xfId="287" applyFont="1" applyBorder="1" applyAlignment="1">
      <alignment horizontal="center" wrapText="1"/>
    </xf>
    <xf numFmtId="0" fontId="5" fillId="0" borderId="11" xfId="287" applyFont="1" applyBorder="1" applyAlignment="1">
      <alignment horizontal="center" vertical="center"/>
    </xf>
    <xf numFmtId="184" fontId="5" fillId="0" borderId="11" xfId="287" applyNumberFormat="1" applyFont="1" applyBorder="1" applyAlignment="1">
      <alignment horizontal="center" vertical="center" wrapText="1"/>
    </xf>
    <xf numFmtId="0" fontId="5" fillId="0" borderId="11" xfId="287" applyFont="1" applyBorder="1" applyAlignment="1">
      <alignment horizontal="center" vertical="center" wrapText="1"/>
    </xf>
    <xf numFmtId="184" fontId="5" fillId="0" borderId="11" xfId="287" applyNumberFormat="1" applyFont="1" applyBorder="1" applyAlignment="1">
      <alignment horizontal="center" vertical="center"/>
    </xf>
    <xf numFmtId="0" fontId="13" fillId="0" borderId="0" xfId="0" applyFont="1" applyAlignment="1">
      <alignment vertical="center"/>
    </xf>
    <xf numFmtId="173" fontId="5" fillId="0" borderId="11" xfId="287" applyNumberFormat="1" applyFont="1" applyBorder="1" applyAlignment="1">
      <alignment vertical="center"/>
    </xf>
    <xf numFmtId="173" fontId="75" fillId="0" borderId="0" xfId="287" applyNumberFormat="1" applyFont="1" applyAlignment="1">
      <alignment vertical="center"/>
    </xf>
    <xf numFmtId="0" fontId="5" fillId="0" borderId="0" xfId="287" applyFont="1" applyAlignment="1">
      <alignment horizontal="right" vertical="center"/>
    </xf>
    <xf numFmtId="0" fontId="72" fillId="0" borderId="0" xfId="287" applyFont="1" applyAlignment="1">
      <alignment wrapText="1"/>
    </xf>
    <xf numFmtId="0" fontId="13" fillId="0" borderId="0" xfId="280" applyFont="1" applyAlignment="1">
      <alignment horizontal="left"/>
    </xf>
    <xf numFmtId="0" fontId="13" fillId="0" borderId="0" xfId="204" applyAlignment="1">
      <alignment wrapText="1"/>
    </xf>
    <xf numFmtId="173" fontId="72" fillId="0" borderId="0" xfId="86" applyNumberFormat="1" applyFont="1" applyFill="1" applyAlignment="1" applyProtection="1">
      <alignment horizontal="center"/>
      <protection locked="0"/>
    </xf>
    <xf numFmtId="173" fontId="13" fillId="0" borderId="0" xfId="287" applyNumberFormat="1" applyFont="1"/>
    <xf numFmtId="0" fontId="13" fillId="0" borderId="0" xfId="185"/>
    <xf numFmtId="0" fontId="112" fillId="0" borderId="0" xfId="288" applyFont="1" applyProtection="1">
      <protection locked="0"/>
    </xf>
    <xf numFmtId="0" fontId="78" fillId="0" borderId="0" xfId="288" applyFont="1"/>
    <xf numFmtId="0" fontId="114" fillId="0" borderId="0" xfId="288" applyFont="1" applyProtection="1">
      <protection locked="0"/>
    </xf>
    <xf numFmtId="0" fontId="115" fillId="0" borderId="0" xfId="288" applyFont="1" applyProtection="1">
      <protection locked="0"/>
    </xf>
    <xf numFmtId="176" fontId="112" fillId="0" borderId="0" xfId="288" applyNumberFormat="1" applyFont="1" applyProtection="1">
      <protection locked="0"/>
    </xf>
    <xf numFmtId="0" fontId="116" fillId="0" borderId="16" xfId="288" applyFont="1" applyBorder="1"/>
    <xf numFmtId="0" fontId="112" fillId="0" borderId="16" xfId="288" applyFont="1" applyBorder="1" applyProtection="1">
      <protection locked="0"/>
    </xf>
    <xf numFmtId="0" fontId="117" fillId="0" borderId="0" xfId="288" applyFont="1" applyProtection="1">
      <protection locked="0"/>
    </xf>
    <xf numFmtId="0" fontId="119" fillId="0" borderId="0" xfId="288" applyFont="1"/>
    <xf numFmtId="0" fontId="6" fillId="0" borderId="0" xfId="285" applyFont="1"/>
    <xf numFmtId="0" fontId="13" fillId="0" borderId="0" xfId="285"/>
    <xf numFmtId="0" fontId="13" fillId="0" borderId="0" xfId="285" applyAlignment="1">
      <alignment horizontal="center"/>
    </xf>
    <xf numFmtId="0" fontId="143" fillId="0" borderId="0" xfId="288" applyFont="1" applyAlignment="1">
      <alignment horizontal="center"/>
    </xf>
    <xf numFmtId="0" fontId="13" fillId="0" borderId="0" xfId="185" applyAlignment="1">
      <alignment wrapText="1"/>
    </xf>
    <xf numFmtId="10" fontId="4" fillId="0" borderId="0" xfId="288" applyNumberFormat="1" applyAlignment="1">
      <alignment horizontal="center"/>
    </xf>
    <xf numFmtId="0" fontId="116" fillId="0" borderId="0" xfId="288" applyFont="1"/>
    <xf numFmtId="0" fontId="4" fillId="0" borderId="0" xfId="288" applyAlignment="1">
      <alignment horizontal="center"/>
    </xf>
    <xf numFmtId="10" fontId="4" fillId="0" borderId="0" xfId="288" applyNumberFormat="1" applyAlignment="1">
      <alignment horizontal="right"/>
    </xf>
    <xf numFmtId="194" fontId="78" fillId="0" borderId="0" xfId="288" applyNumberFormat="1" applyFont="1"/>
    <xf numFmtId="10" fontId="78" fillId="0" borderId="0" xfId="288" applyNumberFormat="1" applyFont="1"/>
    <xf numFmtId="0" fontId="6" fillId="0" borderId="0" xfId="0" applyFont="1" applyAlignment="1">
      <alignment horizontal="left" indent="1"/>
    </xf>
    <xf numFmtId="0" fontId="7" fillId="0" borderId="0" xfId="204" applyFont="1" applyAlignment="1">
      <alignment horizontal="right"/>
    </xf>
    <xf numFmtId="0" fontId="13" fillId="0" borderId="31" xfId="0" applyFont="1" applyBorder="1" applyAlignment="1">
      <alignment horizontal="center"/>
    </xf>
    <xf numFmtId="0" fontId="13" fillId="0" borderId="38" xfId="289" applyBorder="1" applyAlignment="1">
      <alignment horizontal="right"/>
    </xf>
    <xf numFmtId="0" fontId="145" fillId="0" borderId="0" xfId="0" applyFont="1" applyAlignment="1">
      <alignment vertical="center"/>
    </xf>
    <xf numFmtId="0" fontId="146" fillId="0" borderId="0" xfId="0" applyFont="1"/>
    <xf numFmtId="0" fontId="141" fillId="0" borderId="0" xfId="0" applyFont="1"/>
    <xf numFmtId="0" fontId="141" fillId="0" borderId="0" xfId="0" applyFont="1" applyAlignment="1">
      <alignment horizontal="left"/>
    </xf>
    <xf numFmtId="0" fontId="141" fillId="0" borderId="0" xfId="232" applyFont="1" applyAlignment="1">
      <alignment horizontal="center"/>
    </xf>
    <xf numFmtId="0" fontId="146" fillId="0" borderId="0" xfId="0" applyFont="1" applyAlignment="1">
      <alignment horizontal="center"/>
    </xf>
    <xf numFmtId="0" fontId="147" fillId="0" borderId="0" xfId="232" applyFont="1"/>
    <xf numFmtId="0" fontId="141" fillId="0" borderId="0" xfId="232" applyFont="1" applyAlignment="1">
      <alignment horizontal="left"/>
    </xf>
    <xf numFmtId="0" fontId="141" fillId="0" borderId="0" xfId="232" applyFont="1"/>
    <xf numFmtId="3" fontId="141" fillId="0" borderId="0" xfId="0" applyNumberFormat="1" applyFont="1"/>
    <xf numFmtId="3" fontId="141" fillId="0" borderId="0" xfId="0" applyNumberFormat="1" applyFont="1" applyAlignment="1">
      <alignment horizontal="left"/>
    </xf>
    <xf numFmtId="0" fontId="148" fillId="0" borderId="0" xfId="0" applyFont="1" applyAlignment="1">
      <alignment horizontal="center"/>
    </xf>
    <xf numFmtId="0" fontId="149" fillId="0" borderId="0" xfId="0" applyFont="1"/>
    <xf numFmtId="0" fontId="148" fillId="0" borderId="0" xfId="0" applyFont="1" applyAlignment="1">
      <alignment wrapText="1"/>
    </xf>
    <xf numFmtId="0" fontId="148" fillId="0" borderId="0" xfId="0" applyFont="1"/>
    <xf numFmtId="41" fontId="146" fillId="0" borderId="0" xfId="0" applyNumberFormat="1" applyFont="1"/>
    <xf numFmtId="41" fontId="149" fillId="0" borderId="0" xfId="0" applyNumberFormat="1" applyFont="1"/>
    <xf numFmtId="0" fontId="150" fillId="0" borderId="0" xfId="0" applyFont="1" applyAlignment="1">
      <alignment horizontal="center"/>
    </xf>
    <xf numFmtId="0" fontId="151" fillId="0" borderId="0" xfId="0" applyFont="1" applyAlignment="1">
      <alignment horizontal="center"/>
    </xf>
    <xf numFmtId="0" fontId="152" fillId="0" borderId="0" xfId="0" applyFont="1" applyAlignment="1">
      <alignment horizontal="center"/>
    </xf>
    <xf numFmtId="173" fontId="146" fillId="0" borderId="0" xfId="0" applyNumberFormat="1" applyFont="1"/>
    <xf numFmtId="0" fontId="146" fillId="0" borderId="0" xfId="0" applyFont="1" applyAlignment="1">
      <alignment wrapText="1"/>
    </xf>
    <xf numFmtId="0" fontId="146" fillId="0" borderId="11" xfId="0" applyFont="1" applyBorder="1"/>
    <xf numFmtId="0" fontId="149" fillId="0" borderId="11" xfId="0" applyFont="1" applyBorder="1"/>
    <xf numFmtId="0" fontId="149" fillId="0" borderId="0" xfId="0" applyFont="1" applyAlignment="1">
      <alignment horizontal="center"/>
    </xf>
    <xf numFmtId="190" fontId="149" fillId="0" borderId="0" xfId="118" applyNumberFormat="1" applyFont="1" applyAlignment="1">
      <alignment horizontal="center"/>
    </xf>
    <xf numFmtId="173" fontId="146" fillId="0" borderId="14" xfId="0" applyNumberFormat="1" applyFont="1" applyBorder="1"/>
    <xf numFmtId="173" fontId="149" fillId="0" borderId="14" xfId="0" applyNumberFormat="1" applyFont="1" applyBorder="1"/>
    <xf numFmtId="41" fontId="146" fillId="0" borderId="14" xfId="0" applyNumberFormat="1" applyFont="1" applyBorder="1"/>
    <xf numFmtId="43" fontId="149" fillId="0" borderId="0" xfId="0" applyNumberFormat="1" applyFont="1"/>
    <xf numFmtId="0" fontId="149" fillId="0" borderId="0" xfId="0" applyFont="1" applyAlignment="1">
      <alignment wrapText="1"/>
    </xf>
    <xf numFmtId="0" fontId="148" fillId="0" borderId="0" xfId="0" applyFont="1" applyAlignment="1">
      <alignment horizontal="center" wrapText="1"/>
    </xf>
    <xf numFmtId="43" fontId="148" fillId="0" borderId="0" xfId="118" applyFont="1" applyAlignment="1">
      <alignment horizontal="center" wrapText="1"/>
    </xf>
    <xf numFmtId="173" fontId="146" fillId="0" borderId="0" xfId="118" applyNumberFormat="1" applyFont="1"/>
    <xf numFmtId="173" fontId="146" fillId="33" borderId="0" xfId="118" applyNumberFormat="1" applyFont="1" applyFill="1" applyProtection="1">
      <protection locked="0"/>
    </xf>
    <xf numFmtId="173" fontId="148" fillId="0" borderId="0" xfId="118" applyNumberFormat="1" applyFont="1" applyAlignment="1">
      <alignment horizontal="center" wrapText="1"/>
    </xf>
    <xf numFmtId="173" fontId="148" fillId="0" borderId="0" xfId="118" applyNumberFormat="1" applyFont="1"/>
    <xf numFmtId="173" fontId="148" fillId="0" borderId="0" xfId="118" applyNumberFormat="1" applyFont="1" applyAlignment="1">
      <alignment horizontal="center"/>
    </xf>
    <xf numFmtId="173" fontId="146" fillId="0" borderId="11" xfId="0" applyNumberFormat="1" applyFont="1" applyBorder="1"/>
    <xf numFmtId="0" fontId="6" fillId="0" borderId="0" xfId="286" applyNumberFormat="1" applyFont="1" applyAlignment="1" applyProtection="1">
      <alignment horizontal="left" indent="4"/>
    </xf>
    <xf numFmtId="41" fontId="20" fillId="0" borderId="0" xfId="286" applyNumberFormat="1" applyFont="1" applyProtection="1">
      <protection locked="0"/>
    </xf>
    <xf numFmtId="173" fontId="9" fillId="33" borderId="0" xfId="116" applyNumberFormat="1" applyFont="1" applyFill="1" applyAlignment="1" applyProtection="1">
      <protection locked="0"/>
    </xf>
    <xf numFmtId="0" fontId="13" fillId="33" borderId="0" xfId="232" applyFill="1" applyProtection="1">
      <protection locked="0"/>
    </xf>
    <xf numFmtId="0" fontId="20" fillId="33" borderId="0" xfId="278" applyFont="1" applyFill="1" applyAlignment="1" applyProtection="1">
      <alignment horizontal="center"/>
      <protection locked="0"/>
    </xf>
    <xf numFmtId="41" fontId="20" fillId="33" borderId="0" xfId="278" applyNumberFormat="1" applyFont="1" applyFill="1" applyProtection="1">
      <protection locked="0"/>
    </xf>
    <xf numFmtId="10" fontId="6" fillId="31" borderId="0" xfId="0" applyNumberFormat="1" applyFont="1" applyFill="1"/>
    <xf numFmtId="10" fontId="72" fillId="0" borderId="0" xfId="298" applyNumberFormat="1" applyFont="1" applyFill="1"/>
    <xf numFmtId="164" fontId="72" fillId="0" borderId="0" xfId="298" applyNumberFormat="1" applyFont="1" applyFill="1"/>
    <xf numFmtId="10" fontId="79" fillId="33" borderId="11" xfId="298" applyNumberFormat="1" applyFont="1" applyFill="1" applyBorder="1" applyProtection="1">
      <protection locked="0"/>
    </xf>
    <xf numFmtId="10" fontId="13" fillId="0" borderId="0" xfId="298" applyNumberFormat="1" applyFont="1" applyFill="1"/>
    <xf numFmtId="10" fontId="72" fillId="0" borderId="11" xfId="298" applyNumberFormat="1" applyFont="1" applyFill="1" applyBorder="1"/>
    <xf numFmtId="173" fontId="72" fillId="0" borderId="0" xfId="90" applyNumberFormat="1" applyFont="1" applyFill="1"/>
    <xf numFmtId="10" fontId="72" fillId="0" borderId="0" xfId="298" applyNumberFormat="1" applyFont="1" applyFill="1" applyBorder="1"/>
    <xf numFmtId="0" fontId="9" fillId="33" borderId="0" xfId="278" applyFont="1" applyFill="1" applyProtection="1">
      <protection locked="0"/>
    </xf>
    <xf numFmtId="173" fontId="13" fillId="0" borderId="0" xfId="90" applyNumberFormat="1" applyFont="1" applyProtection="1"/>
    <xf numFmtId="173" fontId="13" fillId="0" borderId="0" xfId="90" applyNumberFormat="1" applyFont="1" applyBorder="1" applyProtection="1"/>
    <xf numFmtId="0" fontId="20" fillId="33" borderId="0" xfId="90" applyNumberFormat="1" applyFont="1" applyFill="1" applyAlignment="1" applyProtection="1">
      <alignment horizontal="left"/>
    </xf>
    <xf numFmtId="173" fontId="10" fillId="0" borderId="25" xfId="90" applyNumberFormat="1" applyFont="1" applyBorder="1" applyProtection="1"/>
    <xf numFmtId="0" fontId="6" fillId="0" borderId="0" xfId="90" applyNumberFormat="1" applyFont="1" applyFill="1" applyAlignment="1" applyProtection="1">
      <alignment horizontal="left"/>
    </xf>
    <xf numFmtId="0" fontId="6" fillId="0" borderId="0" xfId="90" applyNumberFormat="1" applyFont="1" applyFill="1" applyBorder="1" applyAlignment="1" applyProtection="1">
      <alignment horizontal="left"/>
    </xf>
    <xf numFmtId="0" fontId="7" fillId="0" borderId="0" xfId="90" applyNumberFormat="1" applyFont="1" applyFill="1" applyBorder="1" applyAlignment="1" applyProtection="1">
      <alignment horizontal="left"/>
    </xf>
    <xf numFmtId="173" fontId="10" fillId="0" borderId="29" xfId="90" applyNumberFormat="1" applyFont="1" applyBorder="1" applyProtection="1"/>
    <xf numFmtId="173" fontId="10" fillId="0" borderId="19" xfId="90" applyNumberFormat="1" applyFont="1" applyBorder="1" applyProtection="1"/>
    <xf numFmtId="173" fontId="13" fillId="0" borderId="6" xfId="90" applyNumberFormat="1" applyFont="1" applyBorder="1" applyProtection="1"/>
    <xf numFmtId="173" fontId="13" fillId="0" borderId="20" xfId="90" applyNumberFormat="1" applyFont="1" applyBorder="1" applyProtection="1"/>
    <xf numFmtId="173" fontId="13" fillId="0" borderId="0" xfId="90" applyNumberFormat="1" applyFont="1" applyFill="1" applyAlignment="1" applyProtection="1"/>
    <xf numFmtId="173" fontId="161" fillId="33" borderId="18" xfId="90" applyNumberFormat="1" applyFont="1" applyFill="1" applyBorder="1" applyAlignment="1" applyProtection="1">
      <alignment horizontal="right"/>
      <protection locked="0"/>
    </xf>
    <xf numFmtId="173" fontId="9" fillId="0" borderId="18" xfId="0" applyNumberFormat="1" applyFont="1" applyBorder="1" applyAlignment="1">
      <alignment horizontal="right"/>
    </xf>
    <xf numFmtId="173" fontId="10" fillId="0" borderId="0" xfId="90" applyNumberFormat="1" applyFont="1" applyBorder="1" applyAlignment="1" applyProtection="1">
      <alignment horizontal="center" wrapText="1"/>
    </xf>
    <xf numFmtId="173" fontId="10" fillId="0" borderId="26" xfId="90" applyNumberFormat="1" applyFont="1" applyBorder="1" applyAlignment="1" applyProtection="1">
      <alignment horizontal="center" wrapText="1"/>
    </xf>
    <xf numFmtId="173" fontId="10" fillId="0" borderId="25" xfId="90" applyNumberFormat="1" applyFont="1" applyBorder="1" applyAlignment="1" applyProtection="1">
      <alignment horizontal="center" wrapText="1"/>
    </xf>
    <xf numFmtId="173" fontId="10" fillId="29" borderId="26" xfId="90" applyNumberFormat="1" applyFont="1" applyFill="1" applyBorder="1" applyAlignment="1" applyProtection="1">
      <alignment horizontal="center" wrapText="1"/>
    </xf>
    <xf numFmtId="173" fontId="10" fillId="0" borderId="28" xfId="90" applyNumberFormat="1" applyFont="1" applyBorder="1" applyAlignment="1" applyProtection="1">
      <alignment horizontal="center"/>
    </xf>
    <xf numFmtId="173" fontId="10" fillId="0" borderId="20" xfId="90" applyNumberFormat="1" applyFont="1" applyBorder="1" applyAlignment="1" applyProtection="1">
      <alignment horizontal="center"/>
    </xf>
    <xf numFmtId="173" fontId="10" fillId="29" borderId="28" xfId="90" applyNumberFormat="1" applyFont="1" applyFill="1" applyBorder="1" applyAlignment="1" applyProtection="1">
      <alignment horizontal="center"/>
    </xf>
    <xf numFmtId="173" fontId="13" fillId="0" borderId="27" xfId="90" applyNumberFormat="1" applyFont="1" applyBorder="1" applyProtection="1"/>
    <xf numFmtId="173" fontId="13" fillId="0" borderId="27" xfId="90" applyNumberFormat="1" applyFont="1" applyFill="1" applyBorder="1" applyProtection="1"/>
    <xf numFmtId="173" fontId="13" fillId="0" borderId="18" xfId="90" applyNumberFormat="1" applyFont="1" applyFill="1" applyBorder="1" applyAlignment="1" applyProtection="1">
      <alignment horizontal="left" indent="3"/>
    </xf>
    <xf numFmtId="173" fontId="13" fillId="0" borderId="18" xfId="90" applyNumberFormat="1" applyFont="1" applyBorder="1" applyProtection="1"/>
    <xf numFmtId="174" fontId="161" fillId="33" borderId="27" xfId="0" applyNumberFormat="1" applyFont="1" applyFill="1" applyBorder="1" applyProtection="1">
      <protection locked="0"/>
    </xf>
    <xf numFmtId="173" fontId="13" fillId="31" borderId="0" xfId="0" applyNumberFormat="1" applyFont="1" applyFill="1"/>
    <xf numFmtId="173" fontId="13" fillId="31" borderId="27" xfId="0" applyNumberFormat="1" applyFont="1" applyFill="1" applyBorder="1"/>
    <xf numFmtId="173" fontId="13" fillId="31" borderId="27" xfId="90" applyNumberFormat="1" applyFont="1" applyFill="1" applyBorder="1" applyProtection="1"/>
    <xf numFmtId="173" fontId="13" fillId="31" borderId="18" xfId="90" applyNumberFormat="1" applyFont="1" applyFill="1" applyBorder="1" applyProtection="1"/>
    <xf numFmtId="174" fontId="13" fillId="31" borderId="27" xfId="0" applyNumberFormat="1" applyFont="1" applyFill="1" applyBorder="1"/>
    <xf numFmtId="173" fontId="13" fillId="0" borderId="28" xfId="90" applyNumberFormat="1" applyFont="1" applyBorder="1" applyProtection="1"/>
    <xf numFmtId="173" fontId="13" fillId="0" borderId="0" xfId="90" applyNumberFormat="1" applyProtection="1"/>
    <xf numFmtId="0" fontId="13" fillId="31" borderId="27" xfId="0" applyFont="1" applyFill="1" applyBorder="1" applyAlignment="1">
      <alignment horizontal="center"/>
    </xf>
    <xf numFmtId="39" fontId="19" fillId="0" borderId="0" xfId="284" applyNumberFormat="1" applyFont="1"/>
    <xf numFmtId="41" fontId="149" fillId="0" borderId="0" xfId="281" applyNumberFormat="1" applyFont="1"/>
    <xf numFmtId="173" fontId="153" fillId="33" borderId="0" xfId="119" applyNumberFormat="1" applyFont="1" applyFill="1" applyProtection="1">
      <protection locked="0"/>
    </xf>
    <xf numFmtId="0" fontId="0" fillId="0" borderId="11" xfId="0" applyBorder="1"/>
    <xf numFmtId="0" fontId="16" fillId="0" borderId="11" xfId="0" applyFont="1" applyBorder="1"/>
    <xf numFmtId="173" fontId="13" fillId="0" borderId="11" xfId="90" applyNumberFormat="1" applyFont="1" applyBorder="1" applyProtection="1"/>
    <xf numFmtId="0" fontId="4" fillId="0" borderId="11" xfId="0" applyFont="1" applyBorder="1"/>
    <xf numFmtId="37" fontId="0" fillId="0" borderId="11" xfId="0" applyNumberFormat="1" applyBorder="1"/>
    <xf numFmtId="174" fontId="13" fillId="0" borderId="11" xfId="0" applyNumberFormat="1" applyFont="1" applyBorder="1"/>
    <xf numFmtId="10" fontId="6" fillId="35" borderId="0" xfId="286" applyNumberFormat="1" applyFont="1" applyFill="1" applyProtection="1"/>
    <xf numFmtId="3" fontId="64" fillId="33" borderId="0" xfId="0" quotePrefix="1" applyNumberFormat="1" applyFont="1" applyFill="1" applyProtection="1">
      <protection locked="0"/>
    </xf>
    <xf numFmtId="0" fontId="64" fillId="33" borderId="0" xfId="90" quotePrefix="1" applyNumberFormat="1" applyFont="1" applyFill="1" applyAlignment="1" applyProtection="1">
      <alignment horizontal="left"/>
      <protection locked="0"/>
    </xf>
    <xf numFmtId="10" fontId="6" fillId="0" borderId="14" xfId="0" applyNumberFormat="1" applyFont="1" applyBorder="1"/>
    <xf numFmtId="173" fontId="146" fillId="30" borderId="0" xfId="0" applyNumberFormat="1" applyFont="1" applyFill="1" applyProtection="1">
      <protection locked="0"/>
    </xf>
    <xf numFmtId="173" fontId="146" fillId="30" borderId="11" xfId="0" applyNumberFormat="1" applyFont="1" applyFill="1" applyBorder="1" applyProtection="1">
      <protection locked="0"/>
    </xf>
    <xf numFmtId="164" fontId="146" fillId="27" borderId="0" xfId="298" applyNumberFormat="1" applyFont="1" applyFill="1" applyProtection="1">
      <protection locked="0"/>
    </xf>
    <xf numFmtId="38" fontId="9" fillId="30" borderId="0" xfId="0" applyNumberFormat="1" applyFont="1" applyFill="1" applyProtection="1">
      <protection locked="0"/>
    </xf>
    <xf numFmtId="9" fontId="6" fillId="0" borderId="0" xfId="0" applyNumberFormat="1" applyFont="1"/>
    <xf numFmtId="44" fontId="111" fillId="0" borderId="0" xfId="129" applyFont="1" applyAlignment="1" applyProtection="1"/>
    <xf numFmtId="0" fontId="116" fillId="0" borderId="16" xfId="0" applyFont="1" applyBorder="1"/>
    <xf numFmtId="0" fontId="116" fillId="0" borderId="30" xfId="0" applyFont="1" applyBorder="1"/>
    <xf numFmtId="0" fontId="112" fillId="0" borderId="30" xfId="0" applyFont="1" applyBorder="1" applyProtection="1">
      <protection locked="0"/>
    </xf>
    <xf numFmtId="10" fontId="0" fillId="0" borderId="30" xfId="0" applyNumberFormat="1" applyBorder="1"/>
    <xf numFmtId="192" fontId="0" fillId="0" borderId="30" xfId="0" applyNumberFormat="1" applyBorder="1"/>
    <xf numFmtId="176" fontId="0" fillId="0" borderId="30" xfId="0" applyNumberFormat="1" applyBorder="1"/>
    <xf numFmtId="192" fontId="4" fillId="0" borderId="0" xfId="288" applyNumberFormat="1"/>
    <xf numFmtId="0" fontId="112" fillId="0" borderId="16" xfId="0" applyFont="1" applyBorder="1" applyProtection="1">
      <protection locked="0"/>
    </xf>
    <xf numFmtId="192" fontId="0" fillId="0" borderId="16" xfId="0" applyNumberFormat="1" applyBorder="1"/>
    <xf numFmtId="176" fontId="0" fillId="0" borderId="16" xfId="0" applyNumberFormat="1" applyBorder="1"/>
    <xf numFmtId="176" fontId="0" fillId="0" borderId="16" xfId="0" applyNumberFormat="1" applyBorder="1" applyAlignment="1">
      <alignment horizontal="center"/>
    </xf>
    <xf numFmtId="0" fontId="25" fillId="0" borderId="0" xfId="235" applyFont="1"/>
    <xf numFmtId="0" fontId="25" fillId="0" borderId="0" xfId="235" applyFont="1" applyAlignment="1">
      <alignment horizontal="center"/>
    </xf>
    <xf numFmtId="0" fontId="13" fillId="0" borderId="0" xfId="235" applyAlignment="1">
      <alignment horizontal="right"/>
    </xf>
    <xf numFmtId="14" fontId="25" fillId="0" borderId="0" xfId="235" applyNumberFormat="1" applyFont="1"/>
    <xf numFmtId="0" fontId="25" fillId="0" borderId="0" xfId="186" applyFont="1"/>
    <xf numFmtId="9" fontId="25" fillId="0" borderId="0" xfId="297" applyFont="1"/>
    <xf numFmtId="41" fontId="25" fillId="0" borderId="0" xfId="235" applyNumberFormat="1" applyFont="1"/>
    <xf numFmtId="10" fontId="25" fillId="0" borderId="0" xfId="300" applyNumberFormat="1" applyFont="1"/>
    <xf numFmtId="0" fontId="25" fillId="0" borderId="0" xfId="0" applyFont="1"/>
    <xf numFmtId="0" fontId="26" fillId="0" borderId="0" xfId="235" applyFont="1"/>
    <xf numFmtId="0" fontId="25" fillId="0" borderId="11" xfId="235" applyFont="1" applyBorder="1"/>
    <xf numFmtId="0" fontId="26" fillId="0" borderId="11" xfId="235" applyFont="1" applyBorder="1" applyAlignment="1">
      <alignment horizontal="center"/>
    </xf>
    <xf numFmtId="0" fontId="26" fillId="0" borderId="11" xfId="235" applyFont="1" applyBorder="1" applyAlignment="1">
      <alignment horizontal="center" wrapText="1"/>
    </xf>
    <xf numFmtId="0" fontId="26" fillId="0" borderId="0" xfId="235" applyFont="1" applyAlignment="1">
      <alignment horizontal="center"/>
    </xf>
    <xf numFmtId="0" fontId="26" fillId="0" borderId="0" xfId="235" applyFont="1" applyAlignment="1">
      <alignment horizontal="center" wrapText="1"/>
    </xf>
    <xf numFmtId="173" fontId="26" fillId="0" borderId="0" xfId="235" applyNumberFormat="1" applyFont="1" applyAlignment="1">
      <alignment horizontal="center"/>
    </xf>
    <xf numFmtId="0" fontId="26" fillId="0" borderId="0" xfId="235" applyFont="1" applyAlignment="1">
      <alignment horizontal="left"/>
    </xf>
    <xf numFmtId="0" fontId="25" fillId="36" borderId="0" xfId="235" applyFont="1" applyFill="1"/>
    <xf numFmtId="49" fontId="25" fillId="0" borderId="0" xfId="235" applyNumberFormat="1" applyFont="1" applyAlignment="1">
      <alignment horizontal="center"/>
    </xf>
    <xf numFmtId="173" fontId="25" fillId="37" borderId="0" xfId="123" applyNumberFormat="1" applyFont="1" applyFill="1" applyBorder="1"/>
    <xf numFmtId="41" fontId="25" fillId="33" borderId="0" xfId="278" applyNumberFormat="1" applyFont="1" applyFill="1" applyProtection="1">
      <protection locked="0"/>
    </xf>
    <xf numFmtId="41" fontId="25" fillId="0" borderId="0" xfId="235" applyNumberFormat="1" applyFont="1" applyAlignment="1">
      <alignment horizontal="center"/>
    </xf>
    <xf numFmtId="41" fontId="25" fillId="33" borderId="42" xfId="278" applyNumberFormat="1" applyFont="1" applyFill="1" applyBorder="1" applyProtection="1">
      <protection locked="0"/>
    </xf>
    <xf numFmtId="173" fontId="25" fillId="37" borderId="33" xfId="123" applyNumberFormat="1" applyFont="1" applyFill="1" applyBorder="1"/>
    <xf numFmtId="41" fontId="25" fillId="0" borderId="42" xfId="186" applyNumberFormat="1" applyFont="1" applyBorder="1"/>
    <xf numFmtId="173" fontId="25" fillId="0" borderId="0" xfId="88" applyNumberFormat="1" applyFont="1" applyBorder="1" applyAlignment="1">
      <alignment horizontal="center"/>
    </xf>
    <xf numFmtId="41" fontId="25" fillId="33" borderId="34" xfId="278" applyNumberFormat="1" applyFont="1" applyFill="1" applyBorder="1" applyAlignment="1" applyProtection="1">
      <alignment vertical="center" wrapText="1"/>
      <protection locked="0"/>
    </xf>
    <xf numFmtId="41" fontId="25" fillId="33" borderId="34" xfId="278" applyNumberFormat="1" applyFont="1" applyFill="1" applyBorder="1" applyAlignment="1" applyProtection="1">
      <alignment vertical="top"/>
      <protection locked="0"/>
    </xf>
    <xf numFmtId="0" fontId="157" fillId="0" borderId="0" xfId="0" applyFont="1"/>
    <xf numFmtId="172" fontId="25" fillId="0" borderId="0" xfId="186" applyNumberFormat="1" applyFont="1"/>
    <xf numFmtId="0" fontId="25" fillId="0" borderId="0" xfId="235" applyFont="1" applyAlignment="1">
      <alignment wrapText="1"/>
    </xf>
    <xf numFmtId="173" fontId="25" fillId="0" borderId="0" xfId="123" applyNumberFormat="1" applyFont="1" applyFill="1" applyBorder="1"/>
    <xf numFmtId="173" fontId="25" fillId="0" borderId="0" xfId="123" applyNumberFormat="1" applyFont="1" applyBorder="1" applyAlignment="1">
      <alignment wrapText="1"/>
    </xf>
    <xf numFmtId="0" fontId="25" fillId="0" borderId="0" xfId="235" applyFont="1" applyAlignment="1">
      <alignment horizontal="left"/>
    </xf>
    <xf numFmtId="173" fontId="25" fillId="0" borderId="0" xfId="123" applyNumberFormat="1" applyFont="1" applyAlignment="1">
      <alignment wrapText="1"/>
    </xf>
    <xf numFmtId="173" fontId="25" fillId="0" borderId="0" xfId="88" applyNumberFormat="1" applyFont="1" applyAlignment="1"/>
    <xf numFmtId="1" fontId="25" fillId="0" borderId="0" xfId="88" applyNumberFormat="1" applyFont="1" applyBorder="1" applyAlignment="1"/>
    <xf numFmtId="177" fontId="25" fillId="0" borderId="0" xfId="88" applyNumberFormat="1" applyFont="1" applyBorder="1" applyAlignment="1"/>
    <xf numFmtId="173" fontId="25" fillId="0" borderId="0" xfId="88" applyNumberFormat="1" applyFont="1" applyBorder="1" applyAlignment="1"/>
    <xf numFmtId="0" fontId="25" fillId="0" borderId="0" xfId="235" applyFont="1" applyAlignment="1">
      <alignment horizontal="left" vertical="center"/>
    </xf>
    <xf numFmtId="0" fontId="25" fillId="0" borderId="0" xfId="235" applyFont="1" applyAlignment="1">
      <alignment vertical="top" wrapText="1"/>
    </xf>
    <xf numFmtId="173" fontId="25" fillId="0" borderId="0" xfId="235" applyNumberFormat="1" applyFont="1"/>
    <xf numFmtId="0" fontId="25" fillId="0" borderId="0" xfId="235" applyFont="1" applyAlignment="1">
      <alignment vertical="top"/>
    </xf>
    <xf numFmtId="0" fontId="26" fillId="0" borderId="0" xfId="235" applyFont="1" applyAlignment="1">
      <alignment horizontal="left" vertical="center"/>
    </xf>
    <xf numFmtId="173" fontId="25" fillId="0" borderId="0" xfId="235" applyNumberFormat="1" applyFont="1" applyAlignment="1">
      <alignment horizontal="left" vertical="center"/>
    </xf>
    <xf numFmtId="173" fontId="13" fillId="0" borderId="0" xfId="87" applyNumberFormat="1" applyFill="1"/>
    <xf numFmtId="173" fontId="13" fillId="0" borderId="0" xfId="87" applyNumberFormat="1" applyFont="1" applyFill="1"/>
    <xf numFmtId="10" fontId="146" fillId="0" borderId="0" xfId="325" applyNumberFormat="1" applyFont="1"/>
    <xf numFmtId="173" fontId="146" fillId="0" borderId="0" xfId="119" applyNumberFormat="1" applyFont="1"/>
    <xf numFmtId="164" fontId="146" fillId="27" borderId="11" xfId="298" applyNumberFormat="1" applyFont="1" applyFill="1" applyBorder="1" applyProtection="1">
      <protection locked="0"/>
    </xf>
    <xf numFmtId="173" fontId="146" fillId="0" borderId="11" xfId="119" applyNumberFormat="1" applyFont="1" applyBorder="1"/>
    <xf numFmtId="0" fontId="78" fillId="0" borderId="30" xfId="288" applyFont="1" applyBorder="1" applyAlignment="1">
      <alignment horizontal="center"/>
    </xf>
    <xf numFmtId="41" fontId="25" fillId="33" borderId="34" xfId="278" applyNumberFormat="1" applyFont="1" applyFill="1" applyBorder="1" applyAlignment="1" applyProtection="1">
      <alignment vertical="center"/>
      <protection locked="0"/>
    </xf>
    <xf numFmtId="10" fontId="0" fillId="0" borderId="16" xfId="0" applyNumberFormat="1" applyBorder="1" applyAlignment="1">
      <alignment horizontal="center"/>
    </xf>
    <xf numFmtId="0" fontId="116" fillId="0" borderId="0" xfId="0" applyFont="1"/>
    <xf numFmtId="0" fontId="170" fillId="0" borderId="0" xfId="0" applyFont="1" applyAlignment="1">
      <alignment horizontal="center"/>
    </xf>
    <xf numFmtId="177" fontId="6" fillId="0" borderId="0" xfId="87" applyNumberFormat="1" applyFont="1" applyAlignment="1">
      <alignment horizontal="center"/>
    </xf>
    <xf numFmtId="10" fontId="6" fillId="0" borderId="0" xfId="237" applyNumberFormat="1" applyFont="1" applyAlignment="1">
      <alignment horizontal="right"/>
    </xf>
    <xf numFmtId="10" fontId="6" fillId="0" borderId="0" xfId="237" applyNumberFormat="1" applyFont="1" applyAlignment="1">
      <alignment horizontal="center"/>
    </xf>
    <xf numFmtId="0" fontId="26" fillId="0" borderId="50" xfId="235" applyFont="1" applyBorder="1" applyAlignment="1">
      <alignment horizontal="center" wrapText="1"/>
    </xf>
    <xf numFmtId="43" fontId="26" fillId="0" borderId="11" xfId="87" applyFont="1" applyFill="1" applyBorder="1" applyAlignment="1">
      <alignment wrapText="1"/>
    </xf>
    <xf numFmtId="41" fontId="25" fillId="33" borderId="51" xfId="278" applyNumberFormat="1" applyFont="1" applyFill="1" applyBorder="1" applyProtection="1">
      <protection locked="0"/>
    </xf>
    <xf numFmtId="173" fontId="25" fillId="37" borderId="51" xfId="123" applyNumberFormat="1" applyFont="1" applyFill="1" applyBorder="1"/>
    <xf numFmtId="173" fontId="25" fillId="0" borderId="52" xfId="123" applyNumberFormat="1" applyFont="1" applyFill="1" applyBorder="1"/>
    <xf numFmtId="41" fontId="25" fillId="33" borderId="53" xfId="278" applyNumberFormat="1" applyFont="1" applyFill="1" applyBorder="1" applyProtection="1">
      <protection locked="0"/>
    </xf>
    <xf numFmtId="173" fontId="25" fillId="37" borderId="54" xfId="123" applyNumberFormat="1" applyFont="1" applyFill="1" applyBorder="1"/>
    <xf numFmtId="41" fontId="25" fillId="0" borderId="53" xfId="186" applyNumberFormat="1" applyFont="1" applyBorder="1"/>
    <xf numFmtId="173" fontId="25" fillId="0" borderId="54" xfId="123" applyNumberFormat="1" applyFont="1" applyFill="1" applyBorder="1"/>
    <xf numFmtId="173" fontId="25" fillId="37" borderId="53" xfId="123" applyNumberFormat="1" applyFont="1" applyFill="1" applyBorder="1"/>
    <xf numFmtId="173" fontId="25" fillId="0" borderId="53" xfId="123" applyNumberFormat="1" applyFont="1" applyFill="1" applyBorder="1"/>
    <xf numFmtId="41" fontId="25" fillId="33" borderId="55" xfId="278" applyNumberFormat="1" applyFont="1" applyFill="1" applyBorder="1" applyProtection="1">
      <protection locked="0"/>
    </xf>
    <xf numFmtId="173" fontId="25" fillId="0" borderId="56" xfId="88" applyNumberFormat="1" applyFont="1" applyBorder="1" applyAlignment="1"/>
    <xf numFmtId="177" fontId="25" fillId="0" borderId="56" xfId="88" applyNumberFormat="1" applyFont="1" applyBorder="1" applyAlignment="1"/>
    <xf numFmtId="173" fontId="25" fillId="0" borderId="56" xfId="88" applyNumberFormat="1" applyFont="1" applyFill="1" applyBorder="1" applyAlignment="1"/>
    <xf numFmtId="173" fontId="25" fillId="0" borderId="57" xfId="88" applyNumberFormat="1" applyFont="1" applyBorder="1" applyAlignment="1">
      <alignment horizontal="center"/>
    </xf>
    <xf numFmtId="0" fontId="9" fillId="33" borderId="0" xfId="91" quotePrefix="1" applyNumberFormat="1" applyFont="1" applyFill="1" applyBorder="1" applyAlignment="1" applyProtection="1">
      <alignment horizontal="center"/>
      <protection locked="0"/>
    </xf>
    <xf numFmtId="0" fontId="64" fillId="33" borderId="0" xfId="0" applyFont="1" applyFill="1" applyAlignment="1" applyProtection="1">
      <alignment horizontal="left"/>
      <protection locked="0"/>
    </xf>
    <xf numFmtId="5" fontId="79" fillId="33" borderId="11" xfId="287" applyNumberFormat="1" applyFont="1" applyFill="1" applyBorder="1" applyProtection="1">
      <protection locked="0"/>
    </xf>
    <xf numFmtId="41" fontId="20" fillId="0" borderId="0" xfId="278" applyNumberFormat="1" applyFont="1" applyProtection="1">
      <protection locked="0"/>
    </xf>
    <xf numFmtId="41" fontId="27" fillId="0" borderId="50" xfId="276" applyNumberFormat="1" applyFont="1" applyBorder="1"/>
    <xf numFmtId="41" fontId="9" fillId="30" borderId="0" xfId="276" applyNumberFormat="1" applyFont="1" applyFill="1" applyProtection="1">
      <protection locked="0"/>
    </xf>
    <xf numFmtId="41" fontId="9" fillId="30" borderId="11" xfId="276" applyNumberFormat="1" applyFont="1" applyFill="1" applyBorder="1" applyProtection="1">
      <protection locked="0"/>
    </xf>
    <xf numFmtId="41" fontId="3" fillId="0" borderId="0" xfId="276" applyNumberFormat="1"/>
    <xf numFmtId="0" fontId="13" fillId="0" borderId="34" xfId="0" applyFont="1" applyBorder="1"/>
    <xf numFmtId="0" fontId="3" fillId="33" borderId="0" xfId="232" applyFont="1" applyFill="1" applyProtection="1">
      <protection locked="0"/>
    </xf>
    <xf numFmtId="2" fontId="3" fillId="0" borderId="0" xfId="376" applyNumberFormat="1" applyFont="1"/>
    <xf numFmtId="172" fontId="3" fillId="0" borderId="0" xfId="376" applyFont="1"/>
    <xf numFmtId="172" fontId="6" fillId="0" borderId="0" xfId="376" applyFont="1" applyAlignment="1">
      <alignment horizontal="right"/>
    </xf>
    <xf numFmtId="172" fontId="25" fillId="0" borderId="0" xfId="377" applyFont="1" applyAlignment="1">
      <alignment horizontal="right"/>
    </xf>
    <xf numFmtId="173" fontId="3" fillId="0" borderId="0" xfId="378" applyNumberFormat="1" applyFont="1"/>
    <xf numFmtId="172" fontId="3" fillId="0" borderId="0" xfId="376" applyFont="1" applyAlignment="1">
      <alignment horizontal="right"/>
    </xf>
    <xf numFmtId="172" fontId="3" fillId="0" borderId="0" xfId="377" applyFont="1" applyAlignment="1">
      <alignment horizontal="right"/>
    </xf>
    <xf numFmtId="2" fontId="3" fillId="0" borderId="0" xfId="376" applyNumberFormat="1" applyFont="1" applyAlignment="1">
      <alignment horizontal="center"/>
    </xf>
    <xf numFmtId="172" fontId="3" fillId="0" borderId="0" xfId="376" applyFont="1" applyAlignment="1">
      <alignment horizontal="center"/>
    </xf>
    <xf numFmtId="172" fontId="3" fillId="0" borderId="0" xfId="376" applyFont="1" applyAlignment="1">
      <alignment wrapText="1"/>
    </xf>
    <xf numFmtId="172" fontId="3" fillId="0" borderId="0" xfId="376" applyFont="1" applyAlignment="1">
      <alignment horizontal="center" wrapText="1"/>
    </xf>
    <xf numFmtId="172" fontId="4" fillId="0" borderId="0" xfId="376"/>
    <xf numFmtId="2" fontId="10" fillId="0" borderId="0" xfId="376" applyNumberFormat="1" applyFont="1"/>
    <xf numFmtId="173" fontId="3" fillId="0" borderId="0" xfId="378" applyNumberFormat="1" applyFont="1" applyFill="1"/>
    <xf numFmtId="1" fontId="3" fillId="0" borderId="0" xfId="376" applyNumberFormat="1" applyFont="1" applyAlignment="1">
      <alignment horizontal="center"/>
    </xf>
    <xf numFmtId="49" fontId="3" fillId="0" borderId="0" xfId="378" applyNumberFormat="1" applyFont="1"/>
    <xf numFmtId="170" fontId="3" fillId="0" borderId="0" xfId="376" applyNumberFormat="1" applyFont="1"/>
    <xf numFmtId="170" fontId="3" fillId="0" borderId="11" xfId="376" applyNumberFormat="1" applyFont="1" applyBorder="1"/>
    <xf numFmtId="172" fontId="4" fillId="0" borderId="0" xfId="376" applyAlignment="1">
      <alignment horizontal="center"/>
    </xf>
    <xf numFmtId="9" fontId="3" fillId="0" borderId="0" xfId="379" applyFont="1" applyFill="1" applyAlignment="1">
      <alignment horizontal="center"/>
    </xf>
    <xf numFmtId="10" fontId="3" fillId="0" borderId="0" xfId="379" applyNumberFormat="1" applyFont="1" applyFill="1" applyAlignment="1"/>
    <xf numFmtId="9" fontId="3" fillId="0" borderId="0" xfId="379" applyFont="1" applyFill="1"/>
    <xf numFmtId="9" fontId="3" fillId="0" borderId="0" xfId="378" applyNumberFormat="1" applyFont="1" applyFill="1" applyAlignment="1">
      <alignment horizontal="center"/>
    </xf>
    <xf numFmtId="9" fontId="3" fillId="0" borderId="0" xfId="376" applyNumberFormat="1" applyFont="1" applyAlignment="1">
      <alignment horizontal="center"/>
    </xf>
    <xf numFmtId="173" fontId="3" fillId="0" borderId="11" xfId="378" applyNumberFormat="1" applyFont="1" applyBorder="1"/>
    <xf numFmtId="9" fontId="4" fillId="0" borderId="0" xfId="376" applyNumberFormat="1" applyAlignment="1">
      <alignment horizontal="center"/>
    </xf>
    <xf numFmtId="43" fontId="3" fillId="0" borderId="0" xfId="378" applyFont="1" applyFill="1"/>
    <xf numFmtId="10" fontId="3" fillId="0" borderId="0" xfId="379" applyNumberFormat="1" applyFont="1" applyFill="1"/>
    <xf numFmtId="43" fontId="3" fillId="0" borderId="50" xfId="378" applyFont="1" applyBorder="1"/>
    <xf numFmtId="173" fontId="3" fillId="0" borderId="50" xfId="378" applyNumberFormat="1" applyFont="1" applyFill="1" applyBorder="1"/>
    <xf numFmtId="173" fontId="3" fillId="0" borderId="0" xfId="378" applyNumberFormat="1" applyFont="1" applyFill="1" applyBorder="1"/>
    <xf numFmtId="9" fontId="3" fillId="0" borderId="0" xfId="378" applyNumberFormat="1" applyFont="1" applyFill="1" applyBorder="1" applyAlignment="1">
      <alignment horizontal="center"/>
    </xf>
    <xf numFmtId="10" fontId="3" fillId="0" borderId="0" xfId="379" applyNumberFormat="1" applyFont="1"/>
    <xf numFmtId="1" fontId="10" fillId="0" borderId="0" xfId="376" applyNumberFormat="1" applyFont="1" applyAlignment="1">
      <alignment horizontal="left"/>
    </xf>
    <xf numFmtId="43" fontId="3" fillId="0" borderId="0" xfId="378" applyFont="1"/>
    <xf numFmtId="199" fontId="3" fillId="0" borderId="0" xfId="378" applyNumberFormat="1" applyFont="1" applyFill="1"/>
    <xf numFmtId="173" fontId="3" fillId="0" borderId="0" xfId="378" applyNumberFormat="1" applyFont="1" applyBorder="1"/>
    <xf numFmtId="173" fontId="3" fillId="0" borderId="50" xfId="378" applyNumberFormat="1" applyFont="1" applyBorder="1"/>
    <xf numFmtId="10" fontId="3" fillId="0" borderId="0" xfId="378" applyNumberFormat="1" applyFont="1" applyFill="1" applyBorder="1" applyAlignment="1">
      <alignment horizontal="center"/>
    </xf>
    <xf numFmtId="2" fontId="4" fillId="0" borderId="0" xfId="376" applyNumberFormat="1"/>
    <xf numFmtId="9" fontId="3" fillId="0" borderId="0" xfId="379" applyFont="1"/>
    <xf numFmtId="2" fontId="3" fillId="0" borderId="0" xfId="376" applyNumberFormat="1" applyFont="1" applyAlignment="1">
      <alignment horizontal="left" wrapText="1"/>
    </xf>
    <xf numFmtId="0" fontId="2" fillId="0" borderId="0" xfId="380"/>
    <xf numFmtId="170" fontId="3" fillId="0" borderId="0" xfId="376" applyNumberFormat="1" applyFont="1" applyAlignment="1">
      <alignment horizontal="center"/>
    </xf>
    <xf numFmtId="170" fontId="3" fillId="0" borderId="0" xfId="376" applyNumberFormat="1" applyFont="1" applyAlignment="1">
      <alignment horizontal="center" wrapText="1"/>
    </xf>
    <xf numFmtId="170" fontId="3" fillId="0" borderId="0" xfId="378" applyNumberFormat="1" applyFont="1"/>
    <xf numFmtId="200" fontId="2" fillId="0" borderId="0" xfId="381" applyNumberFormat="1" applyFont="1"/>
    <xf numFmtId="200" fontId="2" fillId="0" borderId="11" xfId="381" applyNumberFormat="1" applyFont="1" applyBorder="1"/>
    <xf numFmtId="173" fontId="2" fillId="0" borderId="0" xfId="382" applyNumberFormat="1" applyFont="1"/>
    <xf numFmtId="170" fontId="2" fillId="0" borderId="0" xfId="380" applyNumberFormat="1"/>
    <xf numFmtId="177" fontId="2" fillId="0" borderId="0" xfId="382" applyNumberFormat="1" applyFont="1"/>
    <xf numFmtId="177" fontId="3" fillId="0" borderId="0" xfId="379" applyNumberFormat="1" applyFont="1" applyFill="1"/>
    <xf numFmtId="10" fontId="3" fillId="0" borderId="0" xfId="379" applyNumberFormat="1" applyFont="1" applyFill="1" applyAlignment="1">
      <alignment horizontal="center" wrapText="1"/>
    </xf>
    <xf numFmtId="170" fontId="3" fillId="0" borderId="50" xfId="378" applyNumberFormat="1" applyFont="1" applyBorder="1"/>
    <xf numFmtId="170" fontId="3" fillId="0" borderId="0" xfId="378" applyNumberFormat="1" applyFont="1" applyBorder="1"/>
    <xf numFmtId="170" fontId="4" fillId="0" borderId="0" xfId="376" applyNumberFormat="1"/>
    <xf numFmtId="10" fontId="20" fillId="33" borderId="0" xfId="0" applyNumberFormat="1" applyFont="1" applyFill="1" applyProtection="1">
      <protection locked="0"/>
    </xf>
    <xf numFmtId="10" fontId="20" fillId="33" borderId="11" xfId="0" applyNumberFormat="1" applyFont="1" applyFill="1" applyBorder="1" applyProtection="1">
      <protection locked="0"/>
    </xf>
    <xf numFmtId="0" fontId="3" fillId="0" borderId="0" xfId="232" applyFont="1"/>
    <xf numFmtId="173" fontId="3" fillId="0" borderId="0" xfId="86" applyNumberFormat="1" applyFont="1" applyFill="1"/>
    <xf numFmtId="10" fontId="4" fillId="0" borderId="0" xfId="390" applyNumberFormat="1"/>
    <xf numFmtId="191" fontId="4" fillId="0" borderId="0" xfId="390" applyNumberFormat="1"/>
    <xf numFmtId="176" fontId="4" fillId="0" borderId="0" xfId="390" applyNumberFormat="1"/>
    <xf numFmtId="0" fontId="116" fillId="0" borderId="0" xfId="390" applyFont="1"/>
    <xf numFmtId="0" fontId="112" fillId="0" borderId="0" xfId="390" applyFont="1" applyProtection="1">
      <protection locked="0"/>
    </xf>
    <xf numFmtId="192" fontId="4" fillId="0" borderId="0" xfId="390" applyNumberFormat="1"/>
    <xf numFmtId="0" fontId="116" fillId="0" borderId="16" xfId="390" applyFont="1" applyBorder="1"/>
    <xf numFmtId="0" fontId="112" fillId="0" borderId="16" xfId="390" applyFont="1" applyBorder="1" applyProtection="1">
      <protection locked="0"/>
    </xf>
    <xf numFmtId="10" fontId="4" fillId="0" borderId="16" xfId="390" applyNumberFormat="1" applyBorder="1"/>
    <xf numFmtId="192" fontId="4" fillId="0" borderId="16" xfId="390" applyNumberFormat="1" applyBorder="1"/>
    <xf numFmtId="176" fontId="4" fillId="0" borderId="16" xfId="390" applyNumberFormat="1" applyBorder="1"/>
    <xf numFmtId="191" fontId="4" fillId="0" borderId="16" xfId="390" applyNumberFormat="1" applyBorder="1"/>
    <xf numFmtId="0" fontId="78" fillId="0" borderId="0" xfId="390" applyFont="1" applyAlignment="1">
      <alignment horizontal="right"/>
    </xf>
    <xf numFmtId="194" fontId="4" fillId="0" borderId="0" xfId="390" applyNumberFormat="1" applyAlignment="1">
      <alignment horizontal="center"/>
    </xf>
    <xf numFmtId="10" fontId="4" fillId="0" borderId="0" xfId="390" applyNumberFormat="1" applyAlignment="1">
      <alignment horizontal="center"/>
    </xf>
    <xf numFmtId="176" fontId="4" fillId="0" borderId="16" xfId="390" applyNumberFormat="1" applyBorder="1" applyAlignment="1">
      <alignment horizontal="center"/>
    </xf>
    <xf numFmtId="10" fontId="4" fillId="0" borderId="0" xfId="396" applyNumberFormat="1"/>
    <xf numFmtId="191" fontId="4" fillId="0" borderId="0" xfId="396" applyNumberFormat="1"/>
    <xf numFmtId="0" fontId="116" fillId="0" borderId="0" xfId="396" applyFont="1"/>
    <xf numFmtId="0" fontId="112" fillId="0" borderId="0" xfId="396" applyFont="1" applyProtection="1">
      <protection locked="0"/>
    </xf>
    <xf numFmtId="0" fontId="116" fillId="0" borderId="16" xfId="396" applyFont="1" applyBorder="1"/>
    <xf numFmtId="0" fontId="112" fillId="0" borderId="16" xfId="396" applyFont="1" applyBorder="1" applyProtection="1">
      <protection locked="0"/>
    </xf>
    <xf numFmtId="10" fontId="4" fillId="0" borderId="16" xfId="396" applyNumberFormat="1" applyBorder="1"/>
    <xf numFmtId="192" fontId="4" fillId="0" borderId="16" xfId="396" applyNumberFormat="1" applyBorder="1"/>
    <xf numFmtId="176" fontId="4" fillId="0" borderId="16" xfId="396" applyNumberFormat="1" applyBorder="1"/>
    <xf numFmtId="194" fontId="4" fillId="0" borderId="0" xfId="396" applyNumberFormat="1" applyAlignment="1">
      <alignment horizontal="center"/>
    </xf>
    <xf numFmtId="192" fontId="4" fillId="0" borderId="0" xfId="396" applyNumberFormat="1"/>
    <xf numFmtId="10" fontId="4" fillId="0" borderId="0" xfId="396" applyNumberFormat="1" applyAlignment="1">
      <alignment horizontal="center"/>
    </xf>
    <xf numFmtId="176" fontId="4" fillId="0" borderId="16" xfId="396" applyNumberFormat="1" applyBorder="1" applyAlignment="1">
      <alignment horizontal="center"/>
    </xf>
    <xf numFmtId="0" fontId="4" fillId="0" borderId="0" xfId="397"/>
    <xf numFmtId="0" fontId="112" fillId="0" borderId="0" xfId="397" applyFont="1" applyProtection="1">
      <protection locked="0"/>
    </xf>
    <xf numFmtId="0" fontId="43" fillId="0" borderId="0" xfId="397" applyFont="1"/>
    <xf numFmtId="176" fontId="4" fillId="0" borderId="0" xfId="397" applyNumberFormat="1"/>
    <xf numFmtId="0" fontId="118" fillId="0" borderId="0" xfId="397" applyFont="1"/>
    <xf numFmtId="0" fontId="117" fillId="0" borderId="0" xfId="397" applyFont="1" applyProtection="1">
      <protection locked="0"/>
    </xf>
    <xf numFmtId="10" fontId="118" fillId="0" borderId="0" xfId="397" applyNumberFormat="1" applyFont="1"/>
    <xf numFmtId="0" fontId="117" fillId="0" borderId="0" xfId="397" applyFont="1" applyAlignment="1" applyProtection="1">
      <alignment horizontal="right"/>
      <protection locked="0"/>
    </xf>
    <xf numFmtId="176" fontId="4" fillId="0" borderId="0" xfId="397" quotePrefix="1" applyNumberFormat="1" applyAlignment="1">
      <alignment horizontal="right"/>
    </xf>
    <xf numFmtId="0" fontId="118" fillId="0" borderId="0" xfId="397" applyFont="1" applyAlignment="1">
      <alignment horizontal="right"/>
    </xf>
    <xf numFmtId="176" fontId="4" fillId="0" borderId="0" xfId="397" quotePrefix="1" applyNumberFormat="1" applyAlignment="1">
      <alignment horizontal="left"/>
    </xf>
    <xf numFmtId="176" fontId="4" fillId="0" borderId="0" xfId="395" applyNumberFormat="1"/>
    <xf numFmtId="194" fontId="4" fillId="0" borderId="0" xfId="395" applyNumberFormat="1"/>
    <xf numFmtId="0" fontId="112" fillId="0" borderId="0" xfId="395" applyFont="1" applyProtection="1">
      <protection locked="0"/>
    </xf>
    <xf numFmtId="10" fontId="4" fillId="0" borderId="0" xfId="395" applyNumberFormat="1" applyAlignment="1">
      <alignment horizontal="center"/>
    </xf>
    <xf numFmtId="201" fontId="4" fillId="0" borderId="0" xfId="395" applyNumberFormat="1" applyAlignment="1">
      <alignment horizontal="center"/>
    </xf>
    <xf numFmtId="194" fontId="4" fillId="0" borderId="0" xfId="393" applyNumberFormat="1"/>
    <xf numFmtId="0" fontId="112" fillId="0" borderId="0" xfId="393" applyFont="1" applyProtection="1">
      <protection locked="0"/>
    </xf>
    <xf numFmtId="176" fontId="4" fillId="0" borderId="0" xfId="393" applyNumberFormat="1"/>
    <xf numFmtId="10" fontId="4" fillId="0" borderId="0" xfId="393" applyNumberFormat="1" applyAlignment="1">
      <alignment horizontal="center"/>
    </xf>
    <xf numFmtId="201" fontId="4" fillId="0" borderId="0" xfId="393" applyNumberFormat="1" applyAlignment="1">
      <alignment horizontal="center"/>
    </xf>
    <xf numFmtId="0" fontId="78" fillId="0" borderId="0" xfId="185" applyFont="1" applyAlignment="1">
      <alignment horizontal="center" vertical="top" wrapText="1"/>
    </xf>
    <xf numFmtId="194" fontId="4" fillId="0" borderId="6" xfId="288" applyNumberFormat="1" applyBorder="1"/>
    <xf numFmtId="10" fontId="4" fillId="0" borderId="6" xfId="288" applyNumberFormat="1" applyBorder="1"/>
    <xf numFmtId="0" fontId="4" fillId="0" borderId="6" xfId="288" applyBorder="1"/>
    <xf numFmtId="0" fontId="116" fillId="0" borderId="6" xfId="288" applyFont="1" applyBorder="1"/>
    <xf numFmtId="0" fontId="112" fillId="0" borderId="6" xfId="288" applyFont="1" applyBorder="1" applyProtection="1">
      <protection locked="0"/>
    </xf>
    <xf numFmtId="0" fontId="3" fillId="0" borderId="0" xfId="232" applyFont="1" applyAlignment="1">
      <alignment horizontal="center"/>
    </xf>
    <xf numFmtId="38" fontId="3" fillId="0" borderId="0" xfId="0" applyNumberFormat="1" applyFont="1"/>
    <xf numFmtId="3" fontId="3" fillId="0" borderId="0" xfId="232" applyNumberFormat="1" applyFont="1"/>
    <xf numFmtId="37" fontId="3" fillId="30" borderId="0" xfId="0" applyNumberFormat="1" applyFont="1" applyFill="1" applyProtection="1">
      <protection locked="0"/>
    </xf>
    <xf numFmtId="173" fontId="9" fillId="30" borderId="0" xfId="91" applyNumberFormat="1" applyFont="1" applyFill="1" applyBorder="1" applyAlignment="1">
      <alignment horizontal="right"/>
    </xf>
    <xf numFmtId="173" fontId="3" fillId="0" borderId="56" xfId="91" applyNumberFormat="1" applyFont="1" applyBorder="1"/>
    <xf numFmtId="173" fontId="3" fillId="0" borderId="38" xfId="91" applyNumberFormat="1" applyFont="1" applyBorder="1"/>
    <xf numFmtId="0" fontId="10" fillId="0" borderId="59" xfId="289" applyFont="1" applyBorder="1" applyAlignment="1">
      <alignment horizontal="center" wrapText="1"/>
    </xf>
    <xf numFmtId="0" fontId="10" fillId="0" borderId="0" xfId="275" applyFont="1" applyAlignment="1">
      <alignment horizontal="center" wrapText="1"/>
    </xf>
    <xf numFmtId="3" fontId="25" fillId="0" borderId="11" xfId="404" applyNumberFormat="1" applyFont="1" applyBorder="1" applyAlignment="1">
      <alignment horizontal="center" wrapText="1"/>
    </xf>
    <xf numFmtId="0" fontId="3" fillId="0" borderId="52" xfId="0" applyFont="1" applyBorder="1"/>
    <xf numFmtId="0" fontId="3" fillId="0" borderId="59" xfId="0" applyFont="1" applyBorder="1"/>
    <xf numFmtId="3" fontId="3" fillId="0" borderId="33" xfId="404" applyNumberFormat="1" applyBorder="1" applyAlignment="1">
      <alignment horizontal="center" wrapText="1"/>
    </xf>
    <xf numFmtId="3" fontId="3" fillId="0" borderId="11" xfId="404" applyNumberFormat="1" applyBorder="1" applyAlignment="1">
      <alignment horizontal="center" wrapText="1"/>
    </xf>
    <xf numFmtId="173" fontId="3" fillId="0" borderId="56" xfId="90" applyNumberFormat="1" applyFont="1" applyBorder="1"/>
    <xf numFmtId="0" fontId="3" fillId="0" borderId="0" xfId="0" applyFont="1" applyAlignment="1">
      <alignment horizontal="right"/>
    </xf>
    <xf numFmtId="0" fontId="10" fillId="0" borderId="58" xfId="289" applyFont="1" applyBorder="1" applyAlignment="1">
      <alignment horizontal="center" wrapText="1"/>
    </xf>
    <xf numFmtId="3" fontId="25" fillId="0" borderId="35" xfId="404" applyNumberFormat="1" applyFont="1" applyBorder="1" applyAlignment="1">
      <alignment horizontal="center" wrapText="1"/>
    </xf>
    <xf numFmtId="173" fontId="3" fillId="30" borderId="0" xfId="91" applyNumberFormat="1" applyFont="1" applyFill="1" applyBorder="1" applyAlignment="1">
      <alignment horizontal="right"/>
    </xf>
    <xf numFmtId="173" fontId="3" fillId="30" borderId="32" xfId="91" applyNumberFormat="1" applyFont="1" applyFill="1" applyBorder="1" applyAlignment="1">
      <alignment horizontal="right"/>
    </xf>
    <xf numFmtId="173" fontId="3" fillId="30" borderId="35" xfId="91" applyNumberFormat="1" applyFont="1" applyFill="1" applyBorder="1" applyAlignment="1">
      <alignment horizontal="right"/>
    </xf>
    <xf numFmtId="173" fontId="3" fillId="30" borderId="58" xfId="91" applyNumberFormat="1" applyFont="1" applyFill="1" applyBorder="1" applyAlignment="1">
      <alignment horizontal="right"/>
    </xf>
    <xf numFmtId="172" fontId="3" fillId="0" borderId="0" xfId="282" applyFont="1"/>
    <xf numFmtId="37" fontId="3" fillId="0" borderId="0" xfId="289" applyNumberFormat="1" applyFont="1"/>
    <xf numFmtId="0" fontId="3" fillId="0" borderId="58" xfId="0" applyFont="1" applyBorder="1"/>
    <xf numFmtId="3" fontId="3" fillId="0" borderId="35" xfId="404" applyNumberFormat="1" applyBorder="1" applyAlignment="1">
      <alignment horizontal="center" wrapText="1"/>
    </xf>
    <xf numFmtId="173" fontId="3" fillId="30" borderId="59" xfId="91" applyNumberFormat="1" applyFont="1" applyFill="1" applyBorder="1" applyAlignment="1">
      <alignment horizontal="right"/>
    </xf>
    <xf numFmtId="173" fontId="3" fillId="30" borderId="11" xfId="91" applyNumberFormat="1" applyFont="1" applyFill="1" applyBorder="1" applyAlignment="1">
      <alignment horizontal="right"/>
    </xf>
    <xf numFmtId="173" fontId="3" fillId="0" borderId="38" xfId="90" applyNumberFormat="1" applyFont="1" applyBorder="1"/>
    <xf numFmtId="41" fontId="99" fillId="0" borderId="0" xfId="286" applyNumberFormat="1" applyFont="1" applyAlignment="1" applyProtection="1">
      <alignment horizontal="right"/>
    </xf>
    <xf numFmtId="178" fontId="7" fillId="0" borderId="0" xfId="286" applyNumberFormat="1" applyFont="1" applyAlignment="1" applyProtection="1">
      <alignment horizontal="right"/>
    </xf>
    <xf numFmtId="173" fontId="6" fillId="0" borderId="0" xfId="86" applyNumberFormat="1" applyFont="1" applyFill="1" applyBorder="1" applyAlignment="1" applyProtection="1"/>
    <xf numFmtId="0" fontId="6" fillId="0" borderId="0" xfId="286" applyNumberFormat="1" applyFont="1" applyAlignment="1" applyProtection="1">
      <alignment horizontal="left" wrapText="1"/>
    </xf>
    <xf numFmtId="0" fontId="3" fillId="0" borderId="0" xfId="0" applyFont="1" applyAlignment="1">
      <alignment wrapText="1"/>
    </xf>
    <xf numFmtId="3" fontId="7" fillId="0" borderId="0" xfId="286" applyNumberFormat="1" applyFont="1" applyAlignment="1" applyProtection="1">
      <alignment horizontal="center" vertical="center"/>
    </xf>
    <xf numFmtId="3" fontId="6" fillId="33" borderId="0" xfId="286" applyNumberFormat="1" applyFont="1" applyFill="1" applyProtection="1">
      <protection locked="0"/>
    </xf>
    <xf numFmtId="3" fontId="6" fillId="30" borderId="0" xfId="286" applyNumberFormat="1" applyFont="1" applyFill="1" applyProtection="1">
      <protection locked="0"/>
    </xf>
    <xf numFmtId="3" fontId="6" fillId="33" borderId="6" xfId="286" applyNumberFormat="1" applyFont="1" applyFill="1" applyBorder="1" applyProtection="1">
      <protection locked="0"/>
    </xf>
    <xf numFmtId="41" fontId="6" fillId="30" borderId="0" xfId="286" applyNumberFormat="1" applyFont="1" applyFill="1" applyProtection="1">
      <protection locked="0"/>
    </xf>
    <xf numFmtId="41" fontId="6" fillId="33" borderId="6" xfId="286" applyNumberFormat="1" applyFont="1" applyFill="1" applyBorder="1" applyProtection="1">
      <protection locked="0"/>
    </xf>
    <xf numFmtId="0" fontId="3" fillId="0" borderId="0" xfId="0" applyFont="1" applyAlignment="1">
      <alignment horizontal="center"/>
    </xf>
    <xf numFmtId="0" fontId="3" fillId="0" borderId="0" xfId="0" applyFont="1" applyAlignment="1">
      <alignment horizontal="center" wrapText="1"/>
    </xf>
    <xf numFmtId="0" fontId="6" fillId="0" borderId="0" xfId="0" applyFont="1" applyAlignment="1">
      <alignment horizontal="left" vertical="top" wrapText="1"/>
    </xf>
    <xf numFmtId="3" fontId="11" fillId="0" borderId="0" xfId="286" applyNumberFormat="1" applyFont="1" applyAlignment="1" applyProtection="1">
      <alignment horizontal="center"/>
    </xf>
    <xf numFmtId="3" fontId="6" fillId="0" borderId="0" xfId="286" applyNumberFormat="1" applyFont="1" applyAlignment="1" applyProtection="1">
      <alignment horizontal="left" wrapText="1"/>
    </xf>
    <xf numFmtId="0" fontId="3" fillId="0" borderId="0" xfId="0" applyFont="1" applyAlignment="1">
      <alignment horizontal="left" wrapText="1"/>
    </xf>
    <xf numFmtId="172" fontId="6" fillId="0" borderId="0" xfId="286" applyFont="1" applyAlignment="1" applyProtection="1">
      <alignment horizontal="left" wrapText="1"/>
    </xf>
    <xf numFmtId="0" fontId="6" fillId="0" borderId="0" xfId="286" applyNumberFormat="1" applyFont="1" applyAlignment="1" applyProtection="1">
      <alignment horizontal="left" wrapText="1"/>
    </xf>
    <xf numFmtId="0" fontId="6" fillId="0" borderId="0" xfId="0" applyFont="1" applyAlignment="1">
      <alignment wrapText="1"/>
    </xf>
    <xf numFmtId="0" fontId="13" fillId="0" borderId="0" xfId="0" applyFont="1" applyAlignment="1">
      <alignment wrapText="1"/>
    </xf>
    <xf numFmtId="0" fontId="6" fillId="0" borderId="0" xfId="286" applyNumberFormat="1" applyFont="1" applyAlignment="1" applyProtection="1">
      <alignment horizontal="left" vertical="top" wrapText="1"/>
    </xf>
    <xf numFmtId="172" fontId="27" fillId="0" borderId="0" xfId="286" applyFont="1" applyAlignment="1" applyProtection="1">
      <alignment vertical="top" wrapText="1"/>
    </xf>
    <xf numFmtId="0" fontId="27" fillId="0" borderId="0" xfId="0" applyFont="1" applyAlignment="1">
      <alignment vertical="top" wrapText="1"/>
    </xf>
    <xf numFmtId="172" fontId="6" fillId="0" borderId="0" xfId="286" applyFont="1" applyAlignment="1" applyProtection="1">
      <alignment vertical="top" wrapText="1"/>
    </xf>
    <xf numFmtId="0" fontId="6" fillId="0" borderId="0" xfId="0" applyFont="1" applyAlignment="1">
      <alignment vertical="top" wrapText="1"/>
    </xf>
    <xf numFmtId="172" fontId="120" fillId="0" borderId="0" xfId="286" applyFont="1" applyAlignment="1" applyProtection="1">
      <alignment wrapText="1"/>
    </xf>
    <xf numFmtId="0" fontId="33" fillId="0" borderId="0" xfId="0" applyFont="1" applyAlignment="1">
      <alignment wrapText="1"/>
    </xf>
    <xf numFmtId="0" fontId="27" fillId="0" borderId="0" xfId="286" applyNumberFormat="1" applyFont="1" applyAlignment="1" applyProtection="1">
      <alignment horizontal="left" wrapText="1"/>
    </xf>
    <xf numFmtId="172" fontId="6" fillId="0" borderId="0" xfId="286" applyFont="1" applyAlignment="1" applyProtection="1">
      <alignment horizontal="left"/>
    </xf>
    <xf numFmtId="172" fontId="141" fillId="0" borderId="0" xfId="286" applyFont="1" applyAlignment="1" applyProtection="1">
      <alignment vertical="top" wrapText="1"/>
    </xf>
    <xf numFmtId="0" fontId="136" fillId="0" borderId="0" xfId="0" applyFont="1" applyAlignment="1">
      <alignment vertical="top" wrapText="1"/>
    </xf>
    <xf numFmtId="172" fontId="27" fillId="0" borderId="0" xfId="286" applyFont="1" applyAlignment="1" applyProtection="1">
      <alignment wrapText="1"/>
    </xf>
    <xf numFmtId="172" fontId="78" fillId="0" borderId="0" xfId="286" applyFont="1" applyAlignment="1" applyProtection="1">
      <alignment horizontal="left" wrapText="1"/>
    </xf>
    <xf numFmtId="49" fontId="6" fillId="0" borderId="0" xfId="286" applyNumberFormat="1" applyFont="1" applyAlignment="1" applyProtection="1">
      <alignment horizontal="center"/>
    </xf>
    <xf numFmtId="0" fontId="33" fillId="0" borderId="0" xfId="0" applyFont="1" applyAlignment="1">
      <alignment horizontal="center"/>
    </xf>
    <xf numFmtId="0" fontId="11" fillId="0" borderId="0" xfId="286"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86" applyFont="1" applyBorder="1" applyAlignment="1" applyProtection="1">
      <alignment horizontal="center"/>
    </xf>
    <xf numFmtId="0" fontId="10" fillId="0" borderId="54" xfId="210" applyFont="1" applyBorder="1" applyAlignment="1">
      <alignment horizontal="center"/>
    </xf>
    <xf numFmtId="0" fontId="10" fillId="0" borderId="50" xfId="210" applyFont="1" applyBorder="1" applyAlignment="1">
      <alignment horizontal="center"/>
    </xf>
    <xf numFmtId="0" fontId="10" fillId="0" borderId="55" xfId="210" applyFont="1" applyBorder="1" applyAlignment="1">
      <alignment horizontal="center"/>
    </xf>
    <xf numFmtId="0" fontId="6" fillId="0" borderId="0" xfId="0" applyFont="1" applyAlignment="1">
      <alignment horizontal="center"/>
    </xf>
    <xf numFmtId="0" fontId="6" fillId="0" borderId="0" xfId="232" applyFont="1" applyAlignment="1">
      <alignment horizontal="center"/>
    </xf>
    <xf numFmtId="3" fontId="6" fillId="0" borderId="0" xfId="232" applyNumberFormat="1" applyFont="1" applyAlignment="1">
      <alignment horizontal="center"/>
    </xf>
    <xf numFmtId="0" fontId="10" fillId="0" borderId="54" xfId="289" applyFont="1" applyBorder="1" applyAlignment="1">
      <alignment horizontal="center" wrapText="1"/>
    </xf>
    <xf numFmtId="0" fontId="10" fillId="0" borderId="50" xfId="289" applyFont="1" applyBorder="1" applyAlignment="1">
      <alignment horizontal="center" wrapText="1"/>
    </xf>
    <xf numFmtId="0" fontId="10" fillId="0" borderId="55" xfId="289" applyFont="1" applyBorder="1" applyAlignment="1">
      <alignment horizontal="center" wrapText="1"/>
    </xf>
    <xf numFmtId="0" fontId="13" fillId="0" borderId="0" xfId="232" applyAlignment="1">
      <alignment horizontal="left" wrapText="1"/>
    </xf>
    <xf numFmtId="0" fontId="18" fillId="0" borderId="0" xfId="276" applyFont="1" applyAlignment="1">
      <alignment horizontal="center" wrapText="1"/>
    </xf>
    <xf numFmtId="0" fontId="14" fillId="0" borderId="0" xfId="0" applyFont="1" applyAlignment="1">
      <alignment horizontal="center" wrapText="1"/>
    </xf>
    <xf numFmtId="3" fontId="6" fillId="0" borderId="0" xfId="0" applyNumberFormat="1" applyFont="1" applyAlignment="1">
      <alignment horizontal="center"/>
    </xf>
    <xf numFmtId="0" fontId="18" fillId="0" borderId="0" xfId="232" quotePrefix="1" applyFont="1" applyAlignment="1">
      <alignment horizontal="center" wrapText="1"/>
    </xf>
    <xf numFmtId="0" fontId="25" fillId="0" borderId="0" xfId="235" applyFont="1" applyAlignment="1">
      <alignment horizontal="left" wrapText="1"/>
    </xf>
    <xf numFmtId="0" fontId="25" fillId="0" borderId="0" xfId="235" applyFont="1" applyAlignment="1">
      <alignment horizontal="left" vertical="top" wrapText="1"/>
    </xf>
    <xf numFmtId="41" fontId="25" fillId="33" borderId="34" xfId="278" applyNumberFormat="1" applyFont="1" applyFill="1" applyBorder="1" applyAlignment="1" applyProtection="1">
      <alignment vertical="center"/>
      <protection locked="0"/>
    </xf>
    <xf numFmtId="0" fontId="25" fillId="0" borderId="0" xfId="235" applyFont="1" applyAlignment="1">
      <alignment horizontal="center" wrapText="1"/>
    </xf>
    <xf numFmtId="0" fontId="25" fillId="0" borderId="11" xfId="235" applyFont="1" applyBorder="1" applyAlignment="1">
      <alignment horizontal="center"/>
    </xf>
    <xf numFmtId="0" fontId="25" fillId="0" borderId="11" xfId="0" applyFont="1" applyBorder="1" applyAlignment="1">
      <alignment horizontal="center"/>
    </xf>
    <xf numFmtId="0" fontId="25" fillId="0" borderId="11" xfId="235" applyFont="1" applyBorder="1" applyAlignment="1">
      <alignment horizontal="center" wrapText="1"/>
    </xf>
    <xf numFmtId="0" fontId="26" fillId="0" borderId="0" xfId="235" applyFont="1" applyAlignment="1">
      <alignment horizontal="center" wrapText="1"/>
    </xf>
    <xf numFmtId="41" fontId="25" fillId="33" borderId="34" xfId="278" applyNumberFormat="1" applyFont="1" applyFill="1" applyBorder="1" applyAlignment="1" applyProtection="1">
      <alignment horizontal="left" vertical="center" wrapText="1"/>
      <protection locked="0"/>
    </xf>
    <xf numFmtId="172" fontId="3" fillId="0" borderId="0" xfId="376" applyFont="1" applyAlignment="1">
      <alignment horizontal="left" wrapText="1"/>
    </xf>
    <xf numFmtId="2" fontId="3" fillId="0" borderId="0" xfId="376" applyNumberFormat="1" applyFont="1" applyAlignment="1">
      <alignment horizontal="left" wrapText="1"/>
    </xf>
    <xf numFmtId="41" fontId="10" fillId="0" borderId="11" xfId="276" applyNumberFormat="1" applyFont="1" applyBorder="1" applyAlignment="1" applyProtection="1">
      <alignment horizontal="center"/>
      <protection locked="0"/>
    </xf>
    <xf numFmtId="172" fontId="3" fillId="0" borderId="0" xfId="376" applyFont="1" applyAlignment="1">
      <alignment horizontal="center" wrapText="1"/>
    </xf>
    <xf numFmtId="10" fontId="3" fillId="0" borderId="0" xfId="379" applyNumberFormat="1" applyFont="1" applyFill="1" applyAlignment="1">
      <alignment horizontal="center" wrapText="1"/>
    </xf>
    <xf numFmtId="172" fontId="3" fillId="0" borderId="0" xfId="376" applyFont="1" applyAlignment="1">
      <alignment horizontal="left" vertical="top" wrapText="1"/>
    </xf>
    <xf numFmtId="0" fontId="82" fillId="0" borderId="0" xfId="232" applyFont="1" applyAlignment="1">
      <alignment horizontal="center"/>
    </xf>
    <xf numFmtId="0" fontId="82" fillId="0" borderId="0" xfId="276" applyFont="1" applyAlignment="1">
      <alignment horizontal="center"/>
    </xf>
    <xf numFmtId="0" fontId="82" fillId="0" borderId="0" xfId="0" applyFont="1" applyAlignment="1">
      <alignment horizontal="center"/>
    </xf>
    <xf numFmtId="172" fontId="13" fillId="0" borderId="0" xfId="286" applyFont="1" applyAlignment="1" applyProtection="1">
      <alignment horizontal="left" vertical="top" wrapText="1"/>
    </xf>
    <xf numFmtId="0" fontId="10" fillId="0" borderId="0" xfId="290" applyFont="1" applyAlignment="1">
      <alignment wrapText="1"/>
    </xf>
    <xf numFmtId="3" fontId="5" fillId="0" borderId="0" xfId="0" applyNumberFormat="1" applyFont="1" applyAlignment="1">
      <alignment horizontal="center"/>
    </xf>
    <xf numFmtId="0" fontId="11" fillId="0" borderId="0" xfId="290" applyFont="1" applyAlignment="1">
      <alignment horizontal="center"/>
    </xf>
    <xf numFmtId="0" fontId="13" fillId="0" borderId="0" xfId="0" applyFont="1" applyAlignment="1">
      <alignment vertical="top" wrapText="1"/>
    </xf>
    <xf numFmtId="0" fontId="75" fillId="0" borderId="11" xfId="287" applyFont="1" applyBorder="1" applyAlignment="1">
      <alignment horizontal="center"/>
    </xf>
    <xf numFmtId="0" fontId="72" fillId="0" borderId="0" xfId="287" applyFont="1" applyAlignment="1">
      <alignment horizontal="left" wrapText="1"/>
    </xf>
    <xf numFmtId="0" fontId="72" fillId="0" borderId="0" xfId="287" applyFont="1" applyAlignment="1">
      <alignment wrapText="1"/>
    </xf>
    <xf numFmtId="0" fontId="5" fillId="0" borderId="0" xfId="232" applyFont="1" applyAlignment="1">
      <alignment horizontal="center"/>
    </xf>
    <xf numFmtId="0" fontId="5" fillId="0" borderId="0" xfId="0" applyFont="1" applyAlignment="1">
      <alignment horizontal="center"/>
    </xf>
    <xf numFmtId="172" fontId="3" fillId="0" borderId="21" xfId="286" applyFont="1" applyBorder="1" applyAlignment="1" applyProtection="1">
      <alignment wrapText="1"/>
    </xf>
    <xf numFmtId="0" fontId="3" fillId="0" borderId="15" xfId="0" applyFont="1" applyBorder="1" applyAlignment="1">
      <alignment wrapText="1"/>
    </xf>
    <xf numFmtId="0" fontId="3" fillId="0" borderId="25" xfId="0" applyFont="1" applyBorder="1" applyAlignment="1">
      <alignment wrapText="1"/>
    </xf>
    <xf numFmtId="0" fontId="3" fillId="0" borderId="17" xfId="0" applyFont="1" applyBorder="1" applyAlignment="1">
      <alignment wrapText="1"/>
    </xf>
    <xf numFmtId="0" fontId="3" fillId="0" borderId="0" xfId="0" applyFont="1" applyAlignment="1">
      <alignment wrapText="1"/>
    </xf>
    <xf numFmtId="0" fontId="3" fillId="0" borderId="18" xfId="0" applyFont="1" applyBorder="1" applyAlignment="1">
      <alignment wrapText="1"/>
    </xf>
    <xf numFmtId="0" fontId="5" fillId="0" borderId="0" xfId="0" applyFont="1" applyAlignment="1">
      <alignment wrapText="1"/>
    </xf>
    <xf numFmtId="0" fontId="0" fillId="0" borderId="0" xfId="0" applyAlignment="1">
      <alignment wrapText="1"/>
    </xf>
    <xf numFmtId="173" fontId="101" fillId="0" borderId="0" xfId="90" applyNumberFormat="1" applyFont="1" applyBorder="1" applyAlignment="1" applyProtection="1">
      <alignment horizontal="center"/>
    </xf>
    <xf numFmtId="0" fontId="0" fillId="0" borderId="0" xfId="0" applyAlignment="1">
      <alignment horizontal="left" wrapText="1"/>
    </xf>
    <xf numFmtId="0" fontId="70" fillId="33" borderId="0" xfId="0" applyFont="1" applyFill="1" applyAlignment="1" applyProtection="1">
      <alignment horizontal="left"/>
      <protection locked="0"/>
    </xf>
    <xf numFmtId="0" fontId="70" fillId="33" borderId="0" xfId="0" applyFont="1" applyFill="1" applyAlignment="1" applyProtection="1">
      <alignment horizontal="left" wrapText="1"/>
      <protection locked="0"/>
    </xf>
    <xf numFmtId="173" fontId="101" fillId="0" borderId="0" xfId="86" applyNumberFormat="1" applyFont="1" applyBorder="1" applyAlignment="1" applyProtection="1">
      <alignment horizontal="center"/>
    </xf>
    <xf numFmtId="0" fontId="13" fillId="0" borderId="0" xfId="279" applyAlignment="1">
      <alignment horizontal="left" wrapText="1"/>
    </xf>
    <xf numFmtId="0" fontId="13" fillId="0" borderId="0" xfId="204" applyAlignment="1">
      <alignment wrapText="1"/>
    </xf>
    <xf numFmtId="0" fontId="94" fillId="0" borderId="0" xfId="279" applyFont="1" applyAlignment="1">
      <alignment horizontal="left" wrapText="1"/>
    </xf>
    <xf numFmtId="0" fontId="64" fillId="0" borderId="0" xfId="0" applyFont="1" applyAlignment="1">
      <alignment vertical="top" wrapText="1"/>
    </xf>
    <xf numFmtId="41" fontId="10" fillId="0" borderId="0" xfId="279" applyNumberFormat="1" applyFont="1" applyAlignment="1">
      <alignment horizontal="center" wrapText="1"/>
    </xf>
    <xf numFmtId="0" fontId="10" fillId="0" borderId="48" xfId="289" applyFont="1" applyBorder="1" applyAlignment="1">
      <alignment horizontal="center" wrapText="1"/>
    </xf>
    <xf numFmtId="0" fontId="10" fillId="0" borderId="13" xfId="289" applyFont="1" applyBorder="1" applyAlignment="1">
      <alignment horizontal="center" wrapText="1"/>
    </xf>
    <xf numFmtId="0" fontId="10" fillId="0" borderId="49" xfId="289" applyFont="1" applyBorder="1" applyAlignment="1">
      <alignment horizontal="center" wrapText="1"/>
    </xf>
    <xf numFmtId="0" fontId="10" fillId="0" borderId="48" xfId="0" applyFont="1" applyBorder="1" applyAlignment="1">
      <alignment horizontal="center"/>
    </xf>
    <xf numFmtId="0" fontId="10" fillId="0" borderId="13" xfId="0" applyFont="1" applyBorder="1" applyAlignment="1">
      <alignment horizontal="center"/>
    </xf>
    <xf numFmtId="0" fontId="10" fillId="0" borderId="49" xfId="0" applyFont="1" applyBorder="1" applyAlignment="1">
      <alignment horizontal="center"/>
    </xf>
    <xf numFmtId="0" fontId="100" fillId="0" borderId="0" xfId="0" applyFont="1" applyAlignment="1">
      <alignment horizontal="center" wrapText="1"/>
    </xf>
    <xf numFmtId="0" fontId="10" fillId="0" borderId="0" xfId="0" applyFont="1" applyAlignment="1">
      <alignment horizontal="center" wrapText="1"/>
    </xf>
    <xf numFmtId="0" fontId="21" fillId="33" borderId="0" xfId="0" applyFont="1" applyFill="1" applyAlignment="1" applyProtection="1">
      <alignment wrapText="1"/>
      <protection locked="0"/>
    </xf>
    <xf numFmtId="0" fontId="10" fillId="0" borderId="0" xfId="0" applyFont="1" applyAlignment="1">
      <alignment horizontal="left" wrapText="1"/>
    </xf>
    <xf numFmtId="0" fontId="146" fillId="0" borderId="0" xfId="0" applyFont="1" applyAlignment="1">
      <alignment wrapText="1"/>
    </xf>
    <xf numFmtId="0" fontId="146" fillId="0" borderId="0" xfId="0" applyFont="1" applyAlignment="1">
      <alignment horizontal="left" wrapText="1"/>
    </xf>
    <xf numFmtId="0" fontId="148" fillId="0" borderId="0" xfId="0" applyFont="1" applyAlignment="1">
      <alignment horizontal="center"/>
    </xf>
    <xf numFmtId="0" fontId="148" fillId="0" borderId="0" xfId="0" applyFont="1" applyAlignment="1">
      <alignment horizontal="center" wrapText="1"/>
    </xf>
    <xf numFmtId="173" fontId="148" fillId="0" borderId="0" xfId="118" applyNumberFormat="1" applyFont="1" applyAlignment="1">
      <alignment horizontal="center" wrapText="1"/>
    </xf>
    <xf numFmtId="0" fontId="154" fillId="0" borderId="0" xfId="0" applyFont="1" applyAlignment="1">
      <alignment horizontal="left" wrapText="1"/>
    </xf>
    <xf numFmtId="0" fontId="141" fillId="0" borderId="0" xfId="0" applyFont="1" applyAlignment="1">
      <alignment horizontal="center"/>
    </xf>
    <xf numFmtId="0" fontId="141" fillId="0" borderId="0" xfId="232" applyFont="1" applyAlignment="1">
      <alignment horizontal="center"/>
    </xf>
    <xf numFmtId="0" fontId="146" fillId="0" borderId="0" xfId="0" applyFont="1" applyAlignment="1">
      <alignment horizontal="center"/>
    </xf>
    <xf numFmtId="3" fontId="141" fillId="0" borderId="0" xfId="0" applyNumberFormat="1" applyFont="1" applyAlignment="1">
      <alignment horizontal="center"/>
    </xf>
    <xf numFmtId="0" fontId="6" fillId="0" borderId="0" xfId="285" applyFont="1" applyAlignment="1">
      <alignment vertical="top" wrapText="1"/>
    </xf>
    <xf numFmtId="0" fontId="4" fillId="0" borderId="0" xfId="397" applyAlignment="1">
      <alignment horizontal="left" wrapText="1"/>
    </xf>
    <xf numFmtId="0" fontId="4" fillId="0" borderId="0" xfId="397" applyAlignment="1">
      <alignment horizontal="left" vertical="center" wrapText="1"/>
    </xf>
    <xf numFmtId="0" fontId="111" fillId="0" borderId="0" xfId="288" applyFont="1" applyAlignment="1">
      <alignment horizontal="center"/>
    </xf>
    <xf numFmtId="3" fontId="111" fillId="0" borderId="0" xfId="288" applyNumberFormat="1" applyFont="1" applyAlignment="1">
      <alignment horizontal="center"/>
    </xf>
    <xf numFmtId="44" fontId="111" fillId="0" borderId="0" xfId="129" applyFont="1" applyAlignment="1" applyProtection="1">
      <alignment horizontal="center"/>
    </xf>
    <xf numFmtId="0" fontId="78" fillId="0" borderId="30" xfId="288" applyFont="1" applyBorder="1" applyAlignment="1">
      <alignment horizontal="center"/>
    </xf>
    <xf numFmtId="0" fontId="6" fillId="0" borderId="0" xfId="185" applyFont="1" applyAlignment="1">
      <alignment wrapText="1"/>
    </xf>
    <xf numFmtId="44" fontId="111" fillId="0" borderId="0" xfId="129" applyFont="1" applyAlignment="1">
      <alignment horizontal="center"/>
    </xf>
    <xf numFmtId="0" fontId="78" fillId="0" borderId="0" xfId="401" applyFont="1" applyAlignment="1">
      <alignment vertical="center" wrapText="1"/>
    </xf>
    <xf numFmtId="0" fontId="78" fillId="0" borderId="0" xfId="399" applyFont="1" applyAlignment="1">
      <alignment vertical="center" wrapText="1"/>
    </xf>
    <xf numFmtId="0" fontId="78" fillId="0" borderId="0" xfId="402" applyFont="1" applyAlignment="1">
      <alignment vertical="center" wrapText="1"/>
    </xf>
    <xf numFmtId="0" fontId="78" fillId="0" borderId="0" xfId="400" applyFont="1" applyAlignment="1">
      <alignment vertical="center" wrapText="1"/>
    </xf>
    <xf numFmtId="0" fontId="78" fillId="0" borderId="0" xfId="403" applyFont="1" applyAlignment="1">
      <alignment vertical="center" wrapText="1"/>
    </xf>
    <xf numFmtId="0" fontId="78" fillId="0" borderId="0" xfId="0" applyFont="1" applyAlignment="1">
      <alignment horizontal="center"/>
    </xf>
    <xf numFmtId="0" fontId="7" fillId="0" borderId="0" xfId="0" applyFont="1" applyAlignment="1">
      <alignment horizontal="center"/>
    </xf>
    <xf numFmtId="0" fontId="124" fillId="0" borderId="0" xfId="0" applyFont="1" applyAlignment="1">
      <alignment horizontal="center" wrapText="1"/>
    </xf>
    <xf numFmtId="0" fontId="4" fillId="0" borderId="0" xfId="288" applyAlignment="1">
      <alignment wrapText="1"/>
    </xf>
    <xf numFmtId="0" fontId="6" fillId="0" borderId="0" xfId="185" applyFont="1" applyAlignment="1">
      <alignment vertical="top" wrapText="1"/>
    </xf>
    <xf numFmtId="0" fontId="142" fillId="0" borderId="0" xfId="288" applyFont="1" applyAlignment="1">
      <alignment horizontal="center"/>
    </xf>
    <xf numFmtId="0" fontId="4" fillId="0" borderId="0" xfId="288" applyAlignment="1">
      <alignment horizontal="left" wrapText="1"/>
    </xf>
  </cellXfs>
  <cellStyles count="40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 xfId="87" xr:uid="{00000000-0005-0000-0000-000056000000}"/>
    <cellStyle name="Comma 11" xfId="88" xr:uid="{00000000-0005-0000-0000-000057000000}"/>
    <cellStyle name="Comma 12" xfId="378" xr:uid="{4E277284-35EA-4EBB-9067-60B758922A70}"/>
    <cellStyle name="Comma 12 2" xfId="89" xr:uid="{00000000-0005-0000-0000-000058000000}"/>
    <cellStyle name="Comma 13" xfId="382" xr:uid="{28A5BC74-9CB2-4BEC-846F-A690BBCA7437}"/>
    <cellStyle name="Comma 2" xfId="90" xr:uid="{00000000-0005-0000-0000-000059000000}"/>
    <cellStyle name="Comma 2 2" xfId="91" xr:uid="{00000000-0005-0000-0000-00005A000000}"/>
    <cellStyle name="Comma 2 3" xfId="394" xr:uid="{83180566-E294-4A39-A57F-02880CF94AB4}"/>
    <cellStyle name="Comma 3" xfId="92" xr:uid="{00000000-0005-0000-0000-00005B000000}"/>
    <cellStyle name="Comma 3 10" xfId="93" xr:uid="{00000000-0005-0000-0000-00005C000000}"/>
    <cellStyle name="Comma 3 11" xfId="94" xr:uid="{00000000-0005-0000-0000-00005D000000}"/>
    <cellStyle name="Comma 3 2" xfId="95" xr:uid="{00000000-0005-0000-0000-00005E000000}"/>
    <cellStyle name="Comma 3 3" xfId="96" xr:uid="{00000000-0005-0000-0000-00005F000000}"/>
    <cellStyle name="Comma 3 3 2" xfId="97" xr:uid="{00000000-0005-0000-0000-000060000000}"/>
    <cellStyle name="Comma 3 3 3" xfId="98" xr:uid="{00000000-0005-0000-0000-000061000000}"/>
    <cellStyle name="Comma 3 4" xfId="99" xr:uid="{00000000-0005-0000-0000-000062000000}"/>
    <cellStyle name="Comma 3 4 2" xfId="100" xr:uid="{00000000-0005-0000-0000-000063000000}"/>
    <cellStyle name="Comma 3 4 3" xfId="101" xr:uid="{00000000-0005-0000-0000-000064000000}"/>
    <cellStyle name="Comma 3 5" xfId="102" xr:uid="{00000000-0005-0000-0000-000065000000}"/>
    <cellStyle name="Comma 3 6" xfId="103" xr:uid="{00000000-0005-0000-0000-000066000000}"/>
    <cellStyle name="Comma 3 6 2" xfId="104" xr:uid="{00000000-0005-0000-0000-000067000000}"/>
    <cellStyle name="Comma 3 7" xfId="105" xr:uid="{00000000-0005-0000-0000-000068000000}"/>
    <cellStyle name="Comma 3 7 2" xfId="106" xr:uid="{00000000-0005-0000-0000-000069000000}"/>
    <cellStyle name="Comma 3 8" xfId="107" xr:uid="{00000000-0005-0000-0000-00006A000000}"/>
    <cellStyle name="Comma 3 8 2" xfId="108" xr:uid="{00000000-0005-0000-0000-00006B000000}"/>
    <cellStyle name="Comma 3 9" xfId="109" xr:uid="{00000000-0005-0000-0000-00006C000000}"/>
    <cellStyle name="Comma 3 9 2" xfId="110" xr:uid="{00000000-0005-0000-0000-00006D000000}"/>
    <cellStyle name="Comma 4" xfId="111" xr:uid="{00000000-0005-0000-0000-00006E000000}"/>
    <cellStyle name="Comma 4 2" xfId="112" xr:uid="{00000000-0005-0000-0000-00006F000000}"/>
    <cellStyle name="Comma 5" xfId="113" xr:uid="{00000000-0005-0000-0000-000070000000}"/>
    <cellStyle name="Comma 5 2" xfId="114" xr:uid="{00000000-0005-0000-0000-000071000000}"/>
    <cellStyle name="Comma 6" xfId="115" xr:uid="{00000000-0005-0000-0000-000072000000}"/>
    <cellStyle name="Comma 6 2" xfId="116" xr:uid="{00000000-0005-0000-0000-000073000000}"/>
    <cellStyle name="Comma 6 3" xfId="117" xr:uid="{00000000-0005-0000-0000-000074000000}"/>
    <cellStyle name="Comma 7" xfId="118" xr:uid="{00000000-0005-0000-0000-000075000000}"/>
    <cellStyle name="Comma 7 2" xfId="119" xr:uid="{00000000-0005-0000-0000-000076000000}"/>
    <cellStyle name="Comma 7 3" xfId="120" xr:uid="{00000000-0005-0000-0000-000077000000}"/>
    <cellStyle name="Comma 8" xfId="121" xr:uid="{00000000-0005-0000-0000-000078000000}"/>
    <cellStyle name="Comma 8 2" xfId="122" xr:uid="{00000000-0005-0000-0000-000079000000}"/>
    <cellStyle name="Comma 9" xfId="123" xr:uid="{00000000-0005-0000-0000-00007A000000}"/>
    <cellStyle name="Comma 9 2" xfId="124" xr:uid="{00000000-0005-0000-0000-00007B000000}"/>
    <cellStyle name="Comma_spp calc - revsd rev crd" xfId="125" xr:uid="{00000000-0005-0000-0000-00007C000000}"/>
    <cellStyle name="Comma0" xfId="126" xr:uid="{00000000-0005-0000-0000-00007D000000}"/>
    <cellStyle name="Currency" xfId="127" builtinId="4"/>
    <cellStyle name="Currency 10" xfId="128" xr:uid="{00000000-0005-0000-0000-00007F000000}"/>
    <cellStyle name="Currency 2" xfId="129" xr:uid="{00000000-0005-0000-0000-000080000000}"/>
    <cellStyle name="Currency 2 2" xfId="130" xr:uid="{00000000-0005-0000-0000-000081000000}"/>
    <cellStyle name="Currency 2 3" xfId="384" xr:uid="{B1E68ED0-EBAF-4B5D-9044-7644A2DCE139}"/>
    <cellStyle name="Currency 3" xfId="131" xr:uid="{00000000-0005-0000-0000-000082000000}"/>
    <cellStyle name="Currency 3 10" xfId="132" xr:uid="{00000000-0005-0000-0000-000083000000}"/>
    <cellStyle name="Currency 3 2" xfId="133" xr:uid="{00000000-0005-0000-0000-000084000000}"/>
    <cellStyle name="Currency 3 3" xfId="134" xr:uid="{00000000-0005-0000-0000-000085000000}"/>
    <cellStyle name="Currency 3 3 2" xfId="135" xr:uid="{00000000-0005-0000-0000-000086000000}"/>
    <cellStyle name="Currency 3 3 3" xfId="136" xr:uid="{00000000-0005-0000-0000-000087000000}"/>
    <cellStyle name="Currency 3 4" xfId="137" xr:uid="{00000000-0005-0000-0000-000088000000}"/>
    <cellStyle name="Currency 3 4 2" xfId="138" xr:uid="{00000000-0005-0000-0000-000089000000}"/>
    <cellStyle name="Currency 3 4 3" xfId="139" xr:uid="{00000000-0005-0000-0000-00008A000000}"/>
    <cellStyle name="Currency 3 5" xfId="140" xr:uid="{00000000-0005-0000-0000-00008B000000}"/>
    <cellStyle name="Currency 3 6" xfId="141" xr:uid="{00000000-0005-0000-0000-00008C000000}"/>
    <cellStyle name="Currency 3 6 2" xfId="142" xr:uid="{00000000-0005-0000-0000-00008D000000}"/>
    <cellStyle name="Currency 3 7" xfId="143" xr:uid="{00000000-0005-0000-0000-00008E000000}"/>
    <cellStyle name="Currency 3 7 2" xfId="144" xr:uid="{00000000-0005-0000-0000-00008F000000}"/>
    <cellStyle name="Currency 3 8" xfId="145" xr:uid="{00000000-0005-0000-0000-000090000000}"/>
    <cellStyle name="Currency 3 8 2" xfId="146" xr:uid="{00000000-0005-0000-0000-000091000000}"/>
    <cellStyle name="Currency 3 9" xfId="147" xr:uid="{00000000-0005-0000-0000-000092000000}"/>
    <cellStyle name="Currency 4" xfId="148" xr:uid="{00000000-0005-0000-0000-000093000000}"/>
    <cellStyle name="Currency 4 2" xfId="149" xr:uid="{00000000-0005-0000-0000-000094000000}"/>
    <cellStyle name="Currency 5" xfId="150" xr:uid="{00000000-0005-0000-0000-000095000000}"/>
    <cellStyle name="Currency 5 2" xfId="151" xr:uid="{00000000-0005-0000-0000-000096000000}"/>
    <cellStyle name="Currency 6" xfId="152" xr:uid="{00000000-0005-0000-0000-000097000000}"/>
    <cellStyle name="Currency 7" xfId="153" xr:uid="{00000000-0005-0000-0000-000098000000}"/>
    <cellStyle name="Currency 7 2" xfId="154" xr:uid="{00000000-0005-0000-0000-000099000000}"/>
    <cellStyle name="Currency 8" xfId="155" xr:uid="{00000000-0005-0000-0000-00009A000000}"/>
    <cellStyle name="Currency 8 2" xfId="156" xr:uid="{00000000-0005-0000-0000-00009B000000}"/>
    <cellStyle name="Currency 9" xfId="157" xr:uid="{00000000-0005-0000-0000-00009C000000}"/>
    <cellStyle name="Currency0" xfId="158" xr:uid="{00000000-0005-0000-0000-00009D000000}"/>
    <cellStyle name="Date" xfId="159" xr:uid="{00000000-0005-0000-0000-00009E000000}"/>
    <cellStyle name="Explanatory Text" xfId="160" builtinId="53" customBuiltin="1"/>
    <cellStyle name="Explanatory Text 2" xfId="161" xr:uid="{00000000-0005-0000-0000-0000A0000000}"/>
    <cellStyle name="Fixed" xfId="162" xr:uid="{00000000-0005-0000-0000-0000A1000000}"/>
    <cellStyle name="Good" xfId="163" builtinId="26" customBuiltin="1"/>
    <cellStyle name="Good 2" xfId="164" xr:uid="{00000000-0005-0000-0000-0000A3000000}"/>
    <cellStyle name="Heading 1" xfId="165" builtinId="16" customBuiltin="1"/>
    <cellStyle name="Heading 1 2" xfId="166" xr:uid="{00000000-0005-0000-0000-0000A5000000}"/>
    <cellStyle name="Heading 2" xfId="167" builtinId="17" customBuiltin="1"/>
    <cellStyle name="Heading 2 2" xfId="168" xr:uid="{00000000-0005-0000-0000-0000A7000000}"/>
    <cellStyle name="Heading 3" xfId="169" builtinId="18" customBuiltin="1"/>
    <cellStyle name="Heading 3 2" xfId="170" xr:uid="{00000000-0005-0000-0000-0000A9000000}"/>
    <cellStyle name="Heading 4" xfId="171" builtinId="19" customBuiltin="1"/>
    <cellStyle name="Heading 4 2" xfId="172" xr:uid="{00000000-0005-0000-0000-0000AB000000}"/>
    <cellStyle name="Heading1" xfId="173" xr:uid="{00000000-0005-0000-0000-0000AC000000}"/>
    <cellStyle name="Heading2" xfId="174" xr:uid="{00000000-0005-0000-0000-0000AD000000}"/>
    <cellStyle name="Input" xfId="175" builtinId="20" customBuiltin="1"/>
    <cellStyle name="Input 2" xfId="176" xr:uid="{00000000-0005-0000-0000-0000AF000000}"/>
    <cellStyle name="Linked Cell" xfId="177" builtinId="24" customBuiltin="1"/>
    <cellStyle name="Linked Cell 2" xfId="178" xr:uid="{00000000-0005-0000-0000-0000B1000000}"/>
    <cellStyle name="Neutral" xfId="179" builtinId="28" customBuiltin="1"/>
    <cellStyle name="Neutral 2" xfId="180" xr:uid="{00000000-0005-0000-0000-0000B3000000}"/>
    <cellStyle name="Normal" xfId="0" builtinId="0"/>
    <cellStyle name="Normal 10" xfId="181" xr:uid="{00000000-0005-0000-0000-0000B5000000}"/>
    <cellStyle name="Normal 10 2" xfId="182" xr:uid="{00000000-0005-0000-0000-0000B6000000}"/>
    <cellStyle name="Normal 10 3" xfId="183" xr:uid="{00000000-0005-0000-0000-0000B7000000}"/>
    <cellStyle name="Normal 11" xfId="184" xr:uid="{00000000-0005-0000-0000-0000B8000000}"/>
    <cellStyle name="Normal 11 2" xfId="185" xr:uid="{00000000-0005-0000-0000-0000B9000000}"/>
    <cellStyle name="Normal 11 2 2" xfId="186" xr:uid="{00000000-0005-0000-0000-0000BA000000}"/>
    <cellStyle name="Normal 11 3" xfId="187" xr:uid="{00000000-0005-0000-0000-0000BB000000}"/>
    <cellStyle name="Normal 12" xfId="188" xr:uid="{00000000-0005-0000-0000-0000BC000000}"/>
    <cellStyle name="Normal 12 2" xfId="189" xr:uid="{00000000-0005-0000-0000-0000BD000000}"/>
    <cellStyle name="Normal 12 4" xfId="190" xr:uid="{00000000-0005-0000-0000-0000BE000000}"/>
    <cellStyle name="Normal 13" xfId="191" xr:uid="{00000000-0005-0000-0000-0000BF000000}"/>
    <cellStyle name="Normal 13 2" xfId="192" xr:uid="{00000000-0005-0000-0000-0000C0000000}"/>
    <cellStyle name="Normal 14" xfId="193" xr:uid="{00000000-0005-0000-0000-0000C1000000}"/>
    <cellStyle name="Normal 14 2" xfId="194" xr:uid="{00000000-0005-0000-0000-0000C2000000}"/>
    <cellStyle name="Normal 15" xfId="195" xr:uid="{00000000-0005-0000-0000-0000C3000000}"/>
    <cellStyle name="Normal 16" xfId="196" xr:uid="{00000000-0005-0000-0000-0000C4000000}"/>
    <cellStyle name="Normal 16 2" xfId="197" xr:uid="{00000000-0005-0000-0000-0000C5000000}"/>
    <cellStyle name="Normal 17" xfId="198" xr:uid="{00000000-0005-0000-0000-0000C6000000}"/>
    <cellStyle name="Normal 17 2" xfId="199" xr:uid="{00000000-0005-0000-0000-0000C7000000}"/>
    <cellStyle name="Normal 18" xfId="200" xr:uid="{00000000-0005-0000-0000-0000C8000000}"/>
    <cellStyle name="Normal 18 2" xfId="201" xr:uid="{00000000-0005-0000-0000-0000C9000000}"/>
    <cellStyle name="Normal 19" xfId="202" xr:uid="{00000000-0005-0000-0000-0000CA000000}"/>
    <cellStyle name="Normal 19 2" xfId="203" xr:uid="{00000000-0005-0000-0000-0000CB000000}"/>
    <cellStyle name="Normal 2" xfId="204" xr:uid="{00000000-0005-0000-0000-0000CC000000}"/>
    <cellStyle name="Normal 2 2" xfId="205" xr:uid="{00000000-0005-0000-0000-0000CD000000}"/>
    <cellStyle name="Normal 2 2 2" xfId="206" xr:uid="{00000000-0005-0000-0000-0000CE000000}"/>
    <cellStyle name="Normal 2 2 3" xfId="207" xr:uid="{00000000-0005-0000-0000-0000CF000000}"/>
    <cellStyle name="Normal 2 2 4" xfId="208" xr:uid="{00000000-0005-0000-0000-0000D0000000}"/>
    <cellStyle name="Normal 2 3" xfId="209" xr:uid="{00000000-0005-0000-0000-0000D1000000}"/>
    <cellStyle name="Normal 2 4" xfId="385" xr:uid="{7DEAA626-F621-4C98-9829-E9817EE8BF64}"/>
    <cellStyle name="Normal 2 5" xfId="210" xr:uid="{00000000-0005-0000-0000-0000D2000000}"/>
    <cellStyle name="Normal 2 5 2" xfId="211" xr:uid="{00000000-0005-0000-0000-0000D3000000}"/>
    <cellStyle name="Normal 20" xfId="212" xr:uid="{00000000-0005-0000-0000-0000D4000000}"/>
    <cellStyle name="Normal 20 2" xfId="213" xr:uid="{00000000-0005-0000-0000-0000D5000000}"/>
    <cellStyle name="Normal 21" xfId="214" xr:uid="{00000000-0005-0000-0000-0000D6000000}"/>
    <cellStyle name="Normal 21 2" xfId="215" xr:uid="{00000000-0005-0000-0000-0000D7000000}"/>
    <cellStyle name="Normal 22" xfId="216" xr:uid="{00000000-0005-0000-0000-0000D8000000}"/>
    <cellStyle name="Normal 22 2" xfId="217" xr:uid="{00000000-0005-0000-0000-0000D9000000}"/>
    <cellStyle name="Normal 23" xfId="218" xr:uid="{00000000-0005-0000-0000-0000DA000000}"/>
    <cellStyle name="Normal 23 2" xfId="219" xr:uid="{00000000-0005-0000-0000-0000DB000000}"/>
    <cellStyle name="Normal 24" xfId="220" xr:uid="{00000000-0005-0000-0000-0000DC000000}"/>
    <cellStyle name="Normal 24 2" xfId="221" xr:uid="{00000000-0005-0000-0000-0000DD000000}"/>
    <cellStyle name="Normal 25" xfId="222" xr:uid="{00000000-0005-0000-0000-0000DE000000}"/>
    <cellStyle name="Normal 25 2" xfId="223" xr:uid="{00000000-0005-0000-0000-0000DF000000}"/>
    <cellStyle name="Normal 26" xfId="224" xr:uid="{00000000-0005-0000-0000-0000E0000000}"/>
    <cellStyle name="Normal 26 2" xfId="225" xr:uid="{00000000-0005-0000-0000-0000E1000000}"/>
    <cellStyle name="Normal 27" xfId="226" xr:uid="{00000000-0005-0000-0000-0000E2000000}"/>
    <cellStyle name="Normal 28" xfId="227" xr:uid="{00000000-0005-0000-0000-0000E3000000}"/>
    <cellStyle name="Normal 28 2" xfId="228" xr:uid="{00000000-0005-0000-0000-0000E4000000}"/>
    <cellStyle name="Normal 29" xfId="229" xr:uid="{00000000-0005-0000-0000-0000E5000000}"/>
    <cellStyle name="Normal 29 2" xfId="230" xr:uid="{00000000-0005-0000-0000-0000E6000000}"/>
    <cellStyle name="Normal 3" xfId="231" xr:uid="{00000000-0005-0000-0000-0000E7000000}"/>
    <cellStyle name="Normal 3 2" xfId="232" xr:uid="{00000000-0005-0000-0000-0000E8000000}"/>
    <cellStyle name="Normal 3 2 2" xfId="404" xr:uid="{E055C454-770F-4996-BB8F-0B50CBEAFE7B}"/>
    <cellStyle name="Normal 3 3" xfId="233" xr:uid="{00000000-0005-0000-0000-0000E9000000}"/>
    <cellStyle name="Normal 3 4" xfId="386" xr:uid="{7F3330E4-7F22-493F-885A-42FE39175E5C}"/>
    <cellStyle name="Normal 3 5" xfId="392" xr:uid="{C7EFF0BA-5377-4DEA-9681-3BFDF6DD2D2E}"/>
    <cellStyle name="Normal 3_Attach O, GG, Support -New Method 2-14-11" xfId="234" xr:uid="{00000000-0005-0000-0000-0000EA000000}"/>
    <cellStyle name="Normal 30" xfId="383" xr:uid="{85FF5719-9208-49A6-B421-4F798F6BCE96}"/>
    <cellStyle name="Normal 31" xfId="235" xr:uid="{00000000-0005-0000-0000-0000EB000000}"/>
    <cellStyle name="Normal 31 2 2" xfId="377" xr:uid="{EB8EB575-BC33-495E-9DC5-6E99B422423E}"/>
    <cellStyle name="Normal 32" xfId="390" xr:uid="{13627933-8C2C-4A17-B1EE-1FFB0B5715CB}"/>
    <cellStyle name="Normal 33" xfId="396" xr:uid="{DBCC3A7C-CF59-4DAB-84C8-D978372A7FEE}"/>
    <cellStyle name="Normal 33 2" xfId="376" xr:uid="{2C17FBFF-BA56-488A-902C-0AD9D8C35C62}"/>
    <cellStyle name="Normal 34" xfId="380" xr:uid="{E90312B7-C860-4968-ABE3-1E5C9F263643}"/>
    <cellStyle name="Normal 35" xfId="397" xr:uid="{2E6C6164-6F50-4497-AE37-F5287F7CD0DE}"/>
    <cellStyle name="Normal 36" xfId="387" xr:uid="{14D0EAE4-7262-4910-9CAD-36AE7786B575}"/>
    <cellStyle name="Normal 37" xfId="395" xr:uid="{9A646436-961B-4BA3-9B4B-CE297DA3B535}"/>
    <cellStyle name="Normal 38" xfId="393" xr:uid="{84AFA9A3-4306-432B-939B-5BB19DC60456}"/>
    <cellStyle name="Normal 39" xfId="401" xr:uid="{3AEAF594-5E28-4616-B6A2-999395D03203}"/>
    <cellStyle name="Normal 4" xfId="236" xr:uid="{00000000-0005-0000-0000-0000EC000000}"/>
    <cellStyle name="Normal 4 10" xfId="237" xr:uid="{00000000-0005-0000-0000-0000ED000000}"/>
    <cellStyle name="Normal 4 11" xfId="238" xr:uid="{00000000-0005-0000-0000-0000EE000000}"/>
    <cellStyle name="Normal 4 12" xfId="388" xr:uid="{43B2DB96-403D-4D6E-8660-60AFC440860B}"/>
    <cellStyle name="Normal 4 13" xfId="391" xr:uid="{C6ED5C2F-32EC-4D81-ACAE-EFE940278915}"/>
    <cellStyle name="Normal 4 2" xfId="239" xr:uid="{00000000-0005-0000-0000-0000EF000000}"/>
    <cellStyle name="Normal 4 3" xfId="240" xr:uid="{00000000-0005-0000-0000-0000F0000000}"/>
    <cellStyle name="Normal 4 3 2" xfId="241" xr:uid="{00000000-0005-0000-0000-0000F1000000}"/>
    <cellStyle name="Normal 4 3 3" xfId="242" xr:uid="{00000000-0005-0000-0000-0000F2000000}"/>
    <cellStyle name="Normal 4 4" xfId="243" xr:uid="{00000000-0005-0000-0000-0000F3000000}"/>
    <cellStyle name="Normal 4 4 2" xfId="244" xr:uid="{00000000-0005-0000-0000-0000F4000000}"/>
    <cellStyle name="Normal 4 4 3" xfId="245" xr:uid="{00000000-0005-0000-0000-0000F5000000}"/>
    <cellStyle name="Normal 4 5" xfId="246" xr:uid="{00000000-0005-0000-0000-0000F6000000}"/>
    <cellStyle name="Normal 4 6" xfId="247" xr:uid="{00000000-0005-0000-0000-0000F7000000}"/>
    <cellStyle name="Normal 4 6 2" xfId="248" xr:uid="{00000000-0005-0000-0000-0000F8000000}"/>
    <cellStyle name="Normal 4 7" xfId="249" xr:uid="{00000000-0005-0000-0000-0000F9000000}"/>
    <cellStyle name="Normal 4 7 2" xfId="250" xr:uid="{00000000-0005-0000-0000-0000FA000000}"/>
    <cellStyle name="Normal 4 8" xfId="251" xr:uid="{00000000-0005-0000-0000-0000FB000000}"/>
    <cellStyle name="Normal 4 8 2" xfId="252" xr:uid="{00000000-0005-0000-0000-0000FC000000}"/>
    <cellStyle name="Normal 4 9" xfId="253" xr:uid="{00000000-0005-0000-0000-0000FD000000}"/>
    <cellStyle name="Normal 4 9 2" xfId="254" xr:uid="{00000000-0005-0000-0000-0000FE000000}"/>
    <cellStyle name="Normal 4_PBOP Exhibit 1" xfId="255" xr:uid="{00000000-0005-0000-0000-0000FF000000}"/>
    <cellStyle name="Normal 40" xfId="399" xr:uid="{627E8039-A613-4371-AA08-E29E55C072A7}"/>
    <cellStyle name="Normal 41" xfId="402" xr:uid="{2DDD67FD-57B5-4F2F-AD48-88CEC8D9B462}"/>
    <cellStyle name="Normal 42" xfId="400" xr:uid="{C817B91A-BA1E-4037-85DF-1C6A0CEDB41E}"/>
    <cellStyle name="Normal 43" xfId="403" xr:uid="{8C539A34-8C94-4FE3-AE96-7DF7BEBBFC29}"/>
    <cellStyle name="Normal 5" xfId="256" xr:uid="{00000000-0005-0000-0000-000000010000}"/>
    <cellStyle name="Normal 5 2" xfId="257" xr:uid="{00000000-0005-0000-0000-000001010000}"/>
    <cellStyle name="Normal 5 2 2" xfId="258" xr:uid="{00000000-0005-0000-0000-000002010000}"/>
    <cellStyle name="Normal 5 3" xfId="259" xr:uid="{00000000-0005-0000-0000-000003010000}"/>
    <cellStyle name="Normal 5 4" xfId="260" xr:uid="{00000000-0005-0000-0000-000004010000}"/>
    <cellStyle name="Normal 5 5" xfId="389" xr:uid="{26F1BFF9-1010-4BC8-B279-0A6F9150FBE5}"/>
    <cellStyle name="Normal 5 6" xfId="398" xr:uid="{91833521-A808-401F-92A2-24D8C03AFF22}"/>
    <cellStyle name="Normal 6" xfId="261" xr:uid="{00000000-0005-0000-0000-000005010000}"/>
    <cellStyle name="Normal 6 2" xfId="262" xr:uid="{00000000-0005-0000-0000-000006010000}"/>
    <cellStyle name="Normal 6 2 2" xfId="263" xr:uid="{00000000-0005-0000-0000-000007010000}"/>
    <cellStyle name="Normal 6 2 3" xfId="264" xr:uid="{00000000-0005-0000-0000-000008010000}"/>
    <cellStyle name="Normal 6 3" xfId="265" xr:uid="{00000000-0005-0000-0000-000009010000}"/>
    <cellStyle name="Normal 6 3 2" xfId="266" xr:uid="{00000000-0005-0000-0000-00000A010000}"/>
    <cellStyle name="Normal 6 4" xfId="267" xr:uid="{00000000-0005-0000-0000-00000B010000}"/>
    <cellStyle name="Normal 6 4 2" xfId="268" xr:uid="{00000000-0005-0000-0000-00000C010000}"/>
    <cellStyle name="Normal 7" xfId="269" xr:uid="{00000000-0005-0000-0000-00000D010000}"/>
    <cellStyle name="Normal 7 2" xfId="270" xr:uid="{00000000-0005-0000-0000-00000E010000}"/>
    <cellStyle name="Normal 8" xfId="271" xr:uid="{00000000-0005-0000-0000-00000F010000}"/>
    <cellStyle name="Normal 8 2" xfId="272" xr:uid="{00000000-0005-0000-0000-000010010000}"/>
    <cellStyle name="Normal 9" xfId="273" xr:uid="{00000000-0005-0000-0000-000011010000}"/>
    <cellStyle name="Normal 9 2" xfId="274" xr:uid="{00000000-0005-0000-0000-000012010000}"/>
    <cellStyle name="Normal_21 Exh B" xfId="275" xr:uid="{00000000-0005-0000-0000-000013010000}"/>
    <cellStyle name="Normal_ADITAnalysisID090805" xfId="276" xr:uid="{00000000-0005-0000-0000-000014010000}"/>
    <cellStyle name="Normal_ADITAnalysisID090805 2" xfId="277" xr:uid="{00000000-0005-0000-0000-000015010000}"/>
    <cellStyle name="Normal_ADITAnalysisID090805 2 2" xfId="278" xr:uid="{00000000-0005-0000-0000-000016010000}"/>
    <cellStyle name="Normal_ADITAnalysisID090805 2 2 2" xfId="279" xr:uid="{00000000-0005-0000-0000-000017010000}"/>
    <cellStyle name="Normal_ADITAnalysisID090805 3" xfId="280" xr:uid="{00000000-0005-0000-0000-000018010000}"/>
    <cellStyle name="Normal_ADITAnalysisID090805 4 2" xfId="281" xr:uid="{00000000-0005-0000-0000-000019010000}"/>
    <cellStyle name="Normal_ATC Projected 2008 Monthly Plant Balances for Attachment O 2 (2)" xfId="282" xr:uid="{00000000-0005-0000-0000-00001A010000}"/>
    <cellStyle name="Normal_AU Period 2 Rev 4-27-00" xfId="283" xr:uid="{00000000-0005-0000-0000-00001B010000}"/>
    <cellStyle name="Normal_AU Period 2 Rev 4-27-00 2" xfId="284" xr:uid="{00000000-0005-0000-0000-00001C010000}"/>
    <cellStyle name="Normal_DeprRateAuth East Dave Davis 2" xfId="285" xr:uid="{00000000-0005-0000-0000-00001D010000}"/>
    <cellStyle name="Normal_FN1 Ratebase Draft SPP template (6-11-04) v2" xfId="286" xr:uid="{00000000-0005-0000-0000-00001E010000}"/>
    <cellStyle name="Normal_I&amp;M-AK-1" xfId="287" xr:uid="{00000000-0005-0000-0000-00001F010000}"/>
    <cellStyle name="Normal_Revised 1-21-10  Deprec Summary" xfId="288" xr:uid="{00000000-0005-0000-0000-000020010000}"/>
    <cellStyle name="Normal_Schedule O Info for Mike" xfId="289" xr:uid="{00000000-0005-0000-0000-000021010000}"/>
    <cellStyle name="Normal_spp calc - revsd rev crd" xfId="290" xr:uid="{00000000-0005-0000-0000-000022010000}"/>
    <cellStyle name="Note" xfId="291" builtinId="10" customBuiltin="1"/>
    <cellStyle name="Note 2" xfId="292" xr:uid="{00000000-0005-0000-0000-000024010000}"/>
    <cellStyle name="Output" xfId="293" builtinId="21" customBuiltin="1"/>
    <cellStyle name="Output 2" xfId="294" xr:uid="{00000000-0005-0000-0000-000026010000}"/>
    <cellStyle name="Percent" xfId="295" builtinId="5"/>
    <cellStyle name="Percent 10" xfId="296" xr:uid="{00000000-0005-0000-0000-000028010000}"/>
    <cellStyle name="Percent 11" xfId="297" xr:uid="{00000000-0005-0000-0000-000029010000}"/>
    <cellStyle name="Percent 12" xfId="379" xr:uid="{828F2570-AD3C-4C7B-9D3F-48B91D2A8825}"/>
    <cellStyle name="Percent 13" xfId="381" xr:uid="{63BB153E-D3F5-4962-8197-177EAE6E98F3}"/>
    <cellStyle name="Percent 2" xfId="298" xr:uid="{00000000-0005-0000-0000-00002A010000}"/>
    <cellStyle name="Percent 2 2" xfId="299" xr:uid="{00000000-0005-0000-0000-00002B010000}"/>
    <cellStyle name="Percent 2 2 2" xfId="300" xr:uid="{00000000-0005-0000-0000-00002C010000}"/>
    <cellStyle name="Percent 3" xfId="301" xr:uid="{00000000-0005-0000-0000-00002D010000}"/>
    <cellStyle name="Percent 3 10" xfId="302" xr:uid="{00000000-0005-0000-0000-00002E010000}"/>
    <cellStyle name="Percent 3 2" xfId="303" xr:uid="{00000000-0005-0000-0000-00002F010000}"/>
    <cellStyle name="Percent 3 3" xfId="304" xr:uid="{00000000-0005-0000-0000-000030010000}"/>
    <cellStyle name="Percent 3 3 2" xfId="305" xr:uid="{00000000-0005-0000-0000-000031010000}"/>
    <cellStyle name="Percent 3 3 3" xfId="306" xr:uid="{00000000-0005-0000-0000-000032010000}"/>
    <cellStyle name="Percent 3 4" xfId="307" xr:uid="{00000000-0005-0000-0000-000033010000}"/>
    <cellStyle name="Percent 3 4 2" xfId="308" xr:uid="{00000000-0005-0000-0000-000034010000}"/>
    <cellStyle name="Percent 3 4 3" xfId="309" xr:uid="{00000000-0005-0000-0000-000035010000}"/>
    <cellStyle name="Percent 3 5" xfId="310" xr:uid="{00000000-0005-0000-0000-000036010000}"/>
    <cellStyle name="Percent 3 6" xfId="311" xr:uid="{00000000-0005-0000-0000-000037010000}"/>
    <cellStyle name="Percent 3 6 2" xfId="312" xr:uid="{00000000-0005-0000-0000-000038010000}"/>
    <cellStyle name="Percent 3 7" xfId="313" xr:uid="{00000000-0005-0000-0000-000039010000}"/>
    <cellStyle name="Percent 3 7 2" xfId="314" xr:uid="{00000000-0005-0000-0000-00003A010000}"/>
    <cellStyle name="Percent 3 8" xfId="315" xr:uid="{00000000-0005-0000-0000-00003B010000}"/>
    <cellStyle name="Percent 3 8 2" xfId="316" xr:uid="{00000000-0005-0000-0000-00003C010000}"/>
    <cellStyle name="Percent 3 9" xfId="317" xr:uid="{00000000-0005-0000-0000-00003D010000}"/>
    <cellStyle name="Percent 4" xfId="318" xr:uid="{00000000-0005-0000-0000-00003E010000}"/>
    <cellStyle name="Percent 4 2" xfId="319" xr:uid="{00000000-0005-0000-0000-00003F010000}"/>
    <cellStyle name="Percent 4 3" xfId="320" xr:uid="{00000000-0005-0000-0000-000040010000}"/>
    <cellStyle name="Percent 5" xfId="321" xr:uid="{00000000-0005-0000-0000-000041010000}"/>
    <cellStyle name="Percent 5 2" xfId="322" xr:uid="{00000000-0005-0000-0000-000042010000}"/>
    <cellStyle name="Percent 6" xfId="323" xr:uid="{00000000-0005-0000-0000-000043010000}"/>
    <cellStyle name="Percent 7" xfId="324" xr:uid="{00000000-0005-0000-0000-000044010000}"/>
    <cellStyle name="Percent 7 2" xfId="325" xr:uid="{00000000-0005-0000-0000-000045010000}"/>
    <cellStyle name="Percent 7 3" xfId="326" xr:uid="{00000000-0005-0000-0000-000046010000}"/>
    <cellStyle name="Percent 8" xfId="327" xr:uid="{00000000-0005-0000-0000-000047010000}"/>
    <cellStyle name="Percent 8 2" xfId="328" xr:uid="{00000000-0005-0000-0000-000048010000}"/>
    <cellStyle name="Percent 9" xfId="329" xr:uid="{00000000-0005-0000-0000-000049010000}"/>
    <cellStyle name="Percent 9 2" xfId="330" xr:uid="{00000000-0005-0000-0000-00004A010000}"/>
    <cellStyle name="PSChar" xfId="331" xr:uid="{00000000-0005-0000-0000-00004B010000}"/>
    <cellStyle name="PSDate" xfId="332" xr:uid="{00000000-0005-0000-0000-00004C010000}"/>
    <cellStyle name="PSDec" xfId="333" xr:uid="{00000000-0005-0000-0000-00004D010000}"/>
    <cellStyle name="PSdesc" xfId="334" xr:uid="{00000000-0005-0000-0000-00004E010000}"/>
    <cellStyle name="PSHeading" xfId="335" xr:uid="{00000000-0005-0000-0000-00004F010000}"/>
    <cellStyle name="PSInt" xfId="336" xr:uid="{00000000-0005-0000-0000-000050010000}"/>
    <cellStyle name="PSSpacer" xfId="337" xr:uid="{00000000-0005-0000-0000-000051010000}"/>
    <cellStyle name="PStest" xfId="338" xr:uid="{00000000-0005-0000-0000-000052010000}"/>
    <cellStyle name="R00A" xfId="339" xr:uid="{00000000-0005-0000-0000-000053010000}"/>
    <cellStyle name="R00B" xfId="340" xr:uid="{00000000-0005-0000-0000-000054010000}"/>
    <cellStyle name="R00L" xfId="341" xr:uid="{00000000-0005-0000-0000-000055010000}"/>
    <cellStyle name="R01A" xfId="342" xr:uid="{00000000-0005-0000-0000-000056010000}"/>
    <cellStyle name="R01B" xfId="343" xr:uid="{00000000-0005-0000-0000-000057010000}"/>
    <cellStyle name="R01H" xfId="344" xr:uid="{00000000-0005-0000-0000-000058010000}"/>
    <cellStyle name="R01L" xfId="345" xr:uid="{00000000-0005-0000-0000-000059010000}"/>
    <cellStyle name="R02A" xfId="346" xr:uid="{00000000-0005-0000-0000-00005A010000}"/>
    <cellStyle name="R02B" xfId="347" xr:uid="{00000000-0005-0000-0000-00005B010000}"/>
    <cellStyle name="R02H" xfId="348" xr:uid="{00000000-0005-0000-0000-00005C010000}"/>
    <cellStyle name="R02L" xfId="349" xr:uid="{00000000-0005-0000-0000-00005D010000}"/>
    <cellStyle name="R03A" xfId="350" xr:uid="{00000000-0005-0000-0000-00005E010000}"/>
    <cellStyle name="R03B" xfId="351" xr:uid="{00000000-0005-0000-0000-00005F010000}"/>
    <cellStyle name="R03H" xfId="352" xr:uid="{00000000-0005-0000-0000-000060010000}"/>
    <cellStyle name="R03L" xfId="353" xr:uid="{00000000-0005-0000-0000-000061010000}"/>
    <cellStyle name="R04A" xfId="354" xr:uid="{00000000-0005-0000-0000-000062010000}"/>
    <cellStyle name="R04B" xfId="355" xr:uid="{00000000-0005-0000-0000-000063010000}"/>
    <cellStyle name="R04H" xfId="356" xr:uid="{00000000-0005-0000-0000-000064010000}"/>
    <cellStyle name="R04L" xfId="357" xr:uid="{00000000-0005-0000-0000-000065010000}"/>
    <cellStyle name="R05A" xfId="358" xr:uid="{00000000-0005-0000-0000-000066010000}"/>
    <cellStyle name="R05B" xfId="359" xr:uid="{00000000-0005-0000-0000-000067010000}"/>
    <cellStyle name="R05H" xfId="360" xr:uid="{00000000-0005-0000-0000-000068010000}"/>
    <cellStyle name="R05L" xfId="361" xr:uid="{00000000-0005-0000-0000-000069010000}"/>
    <cellStyle name="R06A" xfId="362" xr:uid="{00000000-0005-0000-0000-00006A010000}"/>
    <cellStyle name="R06B" xfId="363" xr:uid="{00000000-0005-0000-0000-00006B010000}"/>
    <cellStyle name="R06H" xfId="364" xr:uid="{00000000-0005-0000-0000-00006C010000}"/>
    <cellStyle name="R06L" xfId="365" xr:uid="{00000000-0005-0000-0000-00006D010000}"/>
    <cellStyle name="R07A" xfId="366" xr:uid="{00000000-0005-0000-0000-00006E010000}"/>
    <cellStyle name="R07B" xfId="367" xr:uid="{00000000-0005-0000-0000-00006F010000}"/>
    <cellStyle name="R07H" xfId="368" xr:uid="{00000000-0005-0000-0000-000070010000}"/>
    <cellStyle name="R07L" xfId="369" xr:uid="{00000000-0005-0000-0000-000071010000}"/>
    <cellStyle name="Title" xfId="370" builtinId="15" customBuiltin="1"/>
    <cellStyle name="Title 2" xfId="371" xr:uid="{00000000-0005-0000-0000-000073010000}"/>
    <cellStyle name="Total" xfId="372" builtinId="25" customBuiltin="1"/>
    <cellStyle name="Total 2" xfId="373" xr:uid="{00000000-0005-0000-0000-000075010000}"/>
    <cellStyle name="Warning Text" xfId="374" builtinId="11" customBuiltin="1"/>
    <cellStyle name="Warning Text 2" xfId="375" xr:uid="{00000000-0005-0000-0000-000077010000}"/>
  </cellStyles>
  <dxfs count="16">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3"/>
  <sheetViews>
    <sheetView tabSelected="1" view="pageBreakPreview" zoomScale="75" zoomScaleNormal="85" zoomScaleSheetLayoutView="75" zoomScalePageLayoutView="50" workbookViewId="0">
      <selection activeCell="D9" sqref="D9"/>
    </sheetView>
  </sheetViews>
  <sheetFormatPr defaultColWidth="11.42578125" defaultRowHeight="15"/>
  <cols>
    <col min="1" max="1" width="4.7109375" style="237" customWidth="1"/>
    <col min="2" max="2" width="7.85546875" style="236" customWidth="1"/>
    <col min="3" max="3" width="1.85546875" style="237" customWidth="1"/>
    <col min="4" max="4" width="70.140625" style="237" customWidth="1"/>
    <col min="5" max="5" width="25.7109375" style="237" customWidth="1"/>
    <col min="6" max="6" width="22.28515625" style="237" customWidth="1"/>
    <col min="7" max="7" width="20.7109375" style="237" customWidth="1"/>
    <col min="8" max="8" width="16.140625" style="237" customWidth="1"/>
    <col min="9" max="9" width="11.28515625" style="237" customWidth="1"/>
    <col min="10" max="10" width="21.5703125" style="237" bestFit="1" customWidth="1"/>
    <col min="11" max="11" width="4.7109375" style="237" customWidth="1"/>
    <col min="12" max="12" width="23" style="237" customWidth="1"/>
    <col min="13" max="13" width="5" style="237" customWidth="1"/>
    <col min="14" max="14" width="31.140625" style="237" customWidth="1"/>
    <col min="15" max="15" width="8.140625" style="237" customWidth="1"/>
    <col min="16" max="16" width="21.85546875" style="237" customWidth="1"/>
    <col min="17" max="17" width="11.42578125" style="237" customWidth="1"/>
    <col min="18" max="18" width="20.5703125" style="237" bestFit="1" customWidth="1"/>
    <col min="19" max="16384" width="11.42578125" style="237"/>
  </cols>
  <sheetData>
    <row r="1" spans="1:15" ht="15.75">
      <c r="A1" s="645" t="s">
        <v>114</v>
      </c>
    </row>
    <row r="2" spans="1:15" ht="15.75">
      <c r="A2" s="645" t="s">
        <v>114</v>
      </c>
    </row>
    <row r="3" spans="1:15" ht="15.75">
      <c r="D3"/>
      <c r="E3" s="238"/>
      <c r="F3" s="238"/>
      <c r="G3" s="239"/>
      <c r="I3" s="240"/>
      <c r="J3" s="240"/>
      <c r="K3" s="240"/>
    </row>
    <row r="4" spans="1:15">
      <c r="J4" s="237" t="s">
        <v>814</v>
      </c>
      <c r="L4" s="596">
        <v>2026</v>
      </c>
    </row>
    <row r="5" spans="1:15">
      <c r="D5" s="241"/>
      <c r="E5" s="241"/>
      <c r="F5" s="28" t="s">
        <v>385</v>
      </c>
      <c r="G5" s="11"/>
      <c r="H5" s="11"/>
      <c r="J5" s="241"/>
      <c r="K5" s="241"/>
      <c r="L5" s="241"/>
      <c r="M5" s="242"/>
      <c r="O5" s="243"/>
    </row>
    <row r="6" spans="1:15">
      <c r="D6" s="241"/>
      <c r="E6" s="244"/>
      <c r="F6" s="28" t="s">
        <v>386</v>
      </c>
      <c r="G6" s="11"/>
      <c r="H6" s="11"/>
      <c r="J6" s="244"/>
      <c r="K6" s="241"/>
      <c r="L6" s="241"/>
      <c r="M6" s="242"/>
    </row>
    <row r="7" spans="1:15">
      <c r="D7" s="241"/>
      <c r="E7" s="241"/>
      <c r="F7" s="2" t="str">
        <f>"Utilizing  Actual/Projected FERC Form 1 Data"</f>
        <v>Utilizing  Actual/Projected FERC Form 1 Data</v>
      </c>
      <c r="G7" s="11"/>
      <c r="H7" s="11"/>
      <c r="J7" s="241"/>
      <c r="K7" s="241"/>
      <c r="L7" s="241"/>
      <c r="M7" s="242"/>
    </row>
    <row r="8" spans="1:15">
      <c r="B8" s="245"/>
      <c r="C8" s="246"/>
      <c r="D8" s="241"/>
      <c r="H8" s="247"/>
      <c r="I8" s="247"/>
      <c r="J8" s="247"/>
      <c r="K8" s="247"/>
      <c r="L8" s="241"/>
      <c r="M8" s="241"/>
    </row>
    <row r="9" spans="1:15" ht="15.75">
      <c r="B9" s="245"/>
      <c r="C9" s="246"/>
      <c r="D9"/>
      <c r="E9" s="241"/>
      <c r="F9" s="248" t="s">
        <v>798</v>
      </c>
      <c r="G9" s="249"/>
      <c r="H9" s="241"/>
      <c r="I9" s="241"/>
      <c r="J9" s="241"/>
      <c r="K9" s="241"/>
      <c r="L9"/>
      <c r="M9" s="241"/>
    </row>
    <row r="10" spans="1:15">
      <c r="B10" s="245"/>
      <c r="C10" s="246"/>
      <c r="D10" s="241"/>
      <c r="E10" s="241"/>
      <c r="F10" s="250"/>
      <c r="G10" s="249"/>
      <c r="H10" s="241"/>
      <c r="I10" s="241"/>
      <c r="J10" s="241"/>
      <c r="K10" s="241"/>
      <c r="L10"/>
      <c r="M10" s="241"/>
    </row>
    <row r="11" spans="1:15">
      <c r="B11" s="245" t="s">
        <v>169</v>
      </c>
      <c r="C11" s="246"/>
      <c r="D11" s="241"/>
      <c r="E11" s="241"/>
      <c r="F11" s="241"/>
      <c r="G11" s="249"/>
      <c r="H11" s="241"/>
      <c r="I11" s="241"/>
      <c r="J11" s="241"/>
      <c r="K11" s="241"/>
      <c r="L11" s="246" t="s">
        <v>115</v>
      </c>
      <c r="M11" s="241"/>
    </row>
    <row r="12" spans="1:15" ht="15.75" thickBot="1">
      <c r="B12" s="251" t="s">
        <v>117</v>
      </c>
      <c r="C12" s="246"/>
      <c r="D12" s="241"/>
      <c r="E12" s="246"/>
      <c r="F12" s="241"/>
      <c r="G12" s="241"/>
      <c r="H12" s="241"/>
      <c r="I12" s="241"/>
      <c r="J12" s="241"/>
      <c r="K12" s="241"/>
      <c r="L12" s="252" t="s">
        <v>170</v>
      </c>
      <c r="M12" s="241"/>
    </row>
    <row r="13" spans="1:15">
      <c r="B13" s="245">
        <f>1</f>
        <v>1</v>
      </c>
      <c r="C13" s="246"/>
      <c r="D13" s="11" t="s">
        <v>111</v>
      </c>
      <c r="E13" s="241" t="str">
        <f>"(ln "&amp;B221&amp;")"</f>
        <v>(ln 130)</v>
      </c>
      <c r="F13" s="241"/>
      <c r="G13" s="244"/>
      <c r="H13" s="253"/>
      <c r="I13" s="241"/>
      <c r="J13" s="241"/>
      <c r="K13" s="241"/>
      <c r="L13" s="254">
        <f>+L221</f>
        <v>27428150.406453256</v>
      </c>
      <c r="M13" s="241"/>
    </row>
    <row r="14" spans="1:15" ht="15.75" thickBot="1">
      <c r="B14" s="245"/>
      <c r="C14" s="246"/>
      <c r="E14" s="255"/>
      <c r="F14" s="244"/>
      <c r="G14" s="252" t="s">
        <v>118</v>
      </c>
      <c r="H14" s="244"/>
      <c r="I14" s="256" t="s">
        <v>119</v>
      </c>
      <c r="J14" s="256"/>
      <c r="K14" s="241"/>
      <c r="L14" s="244"/>
      <c r="M14" s="241"/>
    </row>
    <row r="15" spans="1:15">
      <c r="B15" s="245">
        <f>+B13+1</f>
        <v>2</v>
      </c>
      <c r="C15" s="246"/>
      <c r="D15" s="11" t="s">
        <v>168</v>
      </c>
      <c r="E15" s="255" t="s">
        <v>609</v>
      </c>
      <c r="F15" s="244"/>
      <c r="G15" s="257">
        <f>+'WS E Rev Credits'!K31</f>
        <v>3398130.1336594387</v>
      </c>
      <c r="H15" s="244"/>
      <c r="I15" s="258" t="s">
        <v>129</v>
      </c>
      <c r="J15" s="259">
        <v>1</v>
      </c>
      <c r="K15" s="244"/>
      <c r="L15" s="260">
        <f>+J15*G15</f>
        <v>3398130.1336594387</v>
      </c>
      <c r="M15" s="241"/>
    </row>
    <row r="16" spans="1:15">
      <c r="B16" s="245"/>
      <c r="C16" s="246"/>
      <c r="D16" s="11"/>
      <c r="F16" s="244"/>
      <c r="L16" s="261"/>
      <c r="M16" s="241"/>
    </row>
    <row r="17" spans="2:13">
      <c r="B17" s="245"/>
      <c r="C17" s="246"/>
      <c r="D17" s="11"/>
      <c r="F17" s="244"/>
      <c r="M17" s="241"/>
    </row>
    <row r="18" spans="2:13">
      <c r="B18" s="245">
        <f>+B15+1</f>
        <v>3</v>
      </c>
      <c r="C18" s="246"/>
      <c r="D18" s="11" t="s">
        <v>534</v>
      </c>
      <c r="E18" s="237" t="s">
        <v>610</v>
      </c>
      <c r="F18" s="244"/>
      <c r="L18" s="260">
        <f>'WS E Rev Credits'!K39</f>
        <v>0</v>
      </c>
      <c r="M18" s="241"/>
    </row>
    <row r="19" spans="2:13">
      <c r="B19" s="245"/>
      <c r="C19" s="246"/>
      <c r="D19" s="11"/>
      <c r="F19" s="244"/>
      <c r="M19" s="241"/>
    </row>
    <row r="20" spans="2:13" ht="15.75" thickBot="1">
      <c r="B20" s="245">
        <f>+B18+1</f>
        <v>4</v>
      </c>
      <c r="C20" s="246"/>
      <c r="D20" s="262" t="s">
        <v>464</v>
      </c>
      <c r="E20" s="255" t="str">
        <f>"(ln "&amp;B13&amp;" less  ln " &amp;B15&amp;" plus ln "&amp;B18&amp;")"</f>
        <v>(ln 1 less  ln 2 plus ln 3)</v>
      </c>
      <c r="F20" s="241"/>
      <c r="H20" s="244"/>
      <c r="I20" s="258"/>
      <c r="J20" s="244"/>
      <c r="K20" s="244"/>
      <c r="L20" s="263">
        <f>+L13-L15+L18</f>
        <v>24030020.272793818</v>
      </c>
      <c r="M20" s="241"/>
    </row>
    <row r="21" spans="2:13" ht="15.75" thickTop="1">
      <c r="B21" s="245"/>
      <c r="C21" s="246"/>
      <c r="D21" s="262"/>
      <c r="E21" s="255"/>
      <c r="F21" s="241"/>
      <c r="H21" s="244"/>
      <c r="I21" s="258"/>
      <c r="J21" s="244"/>
      <c r="K21" s="244"/>
      <c r="L21" s="260"/>
      <c r="M21" s="241"/>
    </row>
    <row r="22" spans="2:13">
      <c r="B22" s="245"/>
      <c r="C22" s="246"/>
      <c r="D22" s="262"/>
      <c r="E22" s="255"/>
      <c r="F22" s="241"/>
      <c r="H22" s="244"/>
      <c r="I22" s="258"/>
      <c r="J22" s="244"/>
      <c r="K22" s="244"/>
      <c r="L22" s="260"/>
      <c r="M22" s="241"/>
    </row>
    <row r="23" spans="2:13">
      <c r="B23" s="245"/>
      <c r="C23" s="246"/>
      <c r="D23" s="11"/>
      <c r="E23" s="255"/>
      <c r="F23" s="241"/>
      <c r="H23" s="244"/>
      <c r="I23" s="258"/>
      <c r="J23" s="244"/>
      <c r="K23" s="244"/>
      <c r="L23" s="260"/>
      <c r="M23" s="241"/>
    </row>
    <row r="24" spans="2:13" ht="15" customHeight="1">
      <c r="B24" s="1241"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41"/>
      <c r="D24" s="1241"/>
      <c r="E24" s="1241"/>
      <c r="F24" s="1241"/>
      <c r="G24" s="1241"/>
      <c r="H24" s="1241"/>
      <c r="I24" s="1241"/>
    </row>
    <row r="25" spans="2:13" ht="35.25" customHeight="1">
      <c r="B25" s="1241"/>
      <c r="C25" s="1241"/>
      <c r="D25" s="1241"/>
      <c r="E25" s="1241"/>
      <c r="F25" s="1241"/>
      <c r="G25" s="1241"/>
      <c r="H25" s="1241"/>
      <c r="I25" s="1241"/>
    </row>
    <row r="26" spans="2:13" ht="15" customHeight="1">
      <c r="B26" s="264"/>
      <c r="C26" s="264"/>
      <c r="D26" s="264"/>
      <c r="E26" s="264"/>
      <c r="F26" s="264"/>
      <c r="G26" s="264"/>
      <c r="H26" s="264"/>
      <c r="I26" s="264"/>
    </row>
    <row r="27" spans="2:13">
      <c r="B27" s="245">
        <f>+B20+1</f>
        <v>5</v>
      </c>
      <c r="C27" s="246"/>
      <c r="D27" s="11" t="s">
        <v>535</v>
      </c>
      <c r="E27" s="255"/>
      <c r="F27" s="244"/>
      <c r="G27" s="257">
        <f>+'WS J PROJECTED RTEP RR'!M26</f>
        <v>174962.07188592575</v>
      </c>
      <c r="H27" s="244"/>
      <c r="I27" s="258" t="s">
        <v>129</v>
      </c>
      <c r="J27" s="259">
        <v>1</v>
      </c>
      <c r="K27" s="241"/>
      <c r="L27" s="260">
        <f>+J27*G27</f>
        <v>174962.07188592575</v>
      </c>
      <c r="M27" s="241"/>
    </row>
    <row r="28" spans="2:13">
      <c r="B28" s="245"/>
      <c r="C28" s="246"/>
      <c r="D28" s="11"/>
      <c r="E28" s="255"/>
      <c r="F28" s="244"/>
      <c r="G28" s="257"/>
      <c r="H28" s="244"/>
      <c r="I28" s="244"/>
      <c r="J28" s="259"/>
      <c r="K28" s="241"/>
      <c r="L28" s="260"/>
      <c r="M28" s="241"/>
    </row>
    <row r="29" spans="2:13">
      <c r="B29" s="245">
        <f>+B27+1</f>
        <v>6</v>
      </c>
      <c r="C29" s="246"/>
      <c r="D29" s="11" t="s">
        <v>373</v>
      </c>
      <c r="E29" s="255"/>
      <c r="F29" s="241"/>
      <c r="G29" s="265"/>
      <c r="H29" s="241"/>
      <c r="J29" s="241"/>
      <c r="K29" s="241"/>
      <c r="M29" s="241"/>
    </row>
    <row r="30" spans="2:13">
      <c r="B30" s="245">
        <f>B29+1</f>
        <v>7</v>
      </c>
      <c r="C30" s="246"/>
      <c r="D30" s="241" t="s">
        <v>250</v>
      </c>
      <c r="E30" s="241" t="str">
        <f>"( (ln "&amp;B13&amp;" - ln "&amp;B175&amp;")/((ln "&amp;$B$95&amp;") x 100) )"</f>
        <v>( (ln 1 - ln 95)/((ln 42) x 100) )</v>
      </c>
      <c r="F30" s="246"/>
      <c r="G30" s="246"/>
      <c r="H30" s="246"/>
      <c r="I30" s="266"/>
      <c r="J30" s="266"/>
      <c r="K30" s="266"/>
      <c r="L30" s="267">
        <f>(L13-L175)/L$95</f>
        <v>0.19160288032369893</v>
      </c>
      <c r="M30" s="241"/>
    </row>
    <row r="31" spans="2:13">
      <c r="B31" s="245">
        <f>B30+1</f>
        <v>8</v>
      </c>
      <c r="C31" s="246"/>
      <c r="D31" s="241" t="s">
        <v>251</v>
      </c>
      <c r="E31" s="241" t="str">
        <f>"(ln "&amp;B30&amp;" / 12)"</f>
        <v>(ln 7 / 12)</v>
      </c>
      <c r="F31" s="246"/>
      <c r="G31" s="246"/>
      <c r="H31" s="246"/>
      <c r="I31" s="266"/>
      <c r="J31" s="266"/>
      <c r="K31" s="266"/>
      <c r="L31" s="267">
        <f>L30/12</f>
        <v>1.5966906693641578E-2</v>
      </c>
      <c r="M31" s="241"/>
    </row>
    <row r="32" spans="2:13">
      <c r="B32" s="245"/>
      <c r="C32" s="246"/>
      <c r="D32" s="241"/>
      <c r="E32" s="241"/>
      <c r="F32" s="246"/>
      <c r="G32" s="246"/>
      <c r="H32" s="246"/>
      <c r="I32" s="266"/>
      <c r="J32" s="266"/>
      <c r="K32" s="266"/>
      <c r="L32" s="267"/>
      <c r="M32" s="241"/>
    </row>
    <row r="33" spans="2:13">
      <c r="B33" s="245">
        <f>B31+1</f>
        <v>9</v>
      </c>
      <c r="C33" s="246"/>
      <c r="D33" s="11" t="str">
        <f>"NET PLANT CARRYING CHARGE ON LINE "&amp;B30&amp;" , w/o depreciation or ROE incentives (Note B)"</f>
        <v>NET PLANT CARRYING CHARGE ON LINE 7 , w/o depreciation or ROE incentives (Note B)</v>
      </c>
      <c r="E33" s="241"/>
      <c r="F33" s="246"/>
      <c r="G33" s="246"/>
      <c r="H33" s="246"/>
      <c r="I33" s="266"/>
      <c r="J33" s="266"/>
      <c r="K33" s="266"/>
      <c r="L33" s="267"/>
      <c r="M33" s="241"/>
    </row>
    <row r="34" spans="2:13">
      <c r="B34" s="245">
        <f>B33+1</f>
        <v>10</v>
      </c>
      <c r="C34" s="246"/>
      <c r="D34" s="241" t="s">
        <v>250</v>
      </c>
      <c r="E34" s="241" t="str">
        <f>"( (ln "&amp;B13&amp;" - ln "&amp;B175&amp;" - ln "&amp;B181&amp;" ) /((ln "&amp;$B$95&amp;") x 100) )"</f>
        <v>( (ln 1 - ln 95 - ln 100 ) /((ln 42) x 100) )</v>
      </c>
      <c r="F34" s="246"/>
      <c r="G34" s="246"/>
      <c r="H34" s="246"/>
      <c r="I34" s="266"/>
      <c r="J34" s="266"/>
      <c r="K34" s="266"/>
      <c r="L34" s="267">
        <f>(L13-L175-L181)/L95</f>
        <v>0.16697795638068869</v>
      </c>
      <c r="M34" s="241"/>
    </row>
    <row r="35" spans="2:13">
      <c r="B35" s="245"/>
      <c r="C35" s="246"/>
      <c r="D35" s="241"/>
      <c r="E35" s="241"/>
      <c r="F35" s="246"/>
      <c r="G35" s="246"/>
      <c r="H35" s="246"/>
      <c r="I35" s="266"/>
      <c r="J35" s="266"/>
      <c r="K35" s="266"/>
      <c r="L35" s="267"/>
      <c r="M35" s="241"/>
    </row>
    <row r="36" spans="2:13">
      <c r="B36" s="245">
        <f>B34+1</f>
        <v>11</v>
      </c>
      <c r="C36" s="246"/>
      <c r="D36" s="11" t="str">
        <f>"NET PLANT CARRYING CHARGE ON LINE "&amp;B34&amp;", w/o Return, income taxes or ROE incentives (Note B)"</f>
        <v>NET PLANT CARRYING CHARGE ON LINE 10, w/o Return, income taxes or ROE incentives (Note B)</v>
      </c>
      <c r="E36" s="241"/>
      <c r="F36" s="67"/>
      <c r="G36" s="67"/>
      <c r="H36" s="67"/>
      <c r="I36" s="67"/>
      <c r="J36" s="67"/>
      <c r="K36" s="67"/>
      <c r="L36" s="67"/>
      <c r="M36"/>
    </row>
    <row r="37" spans="2:13">
      <c r="B37" s="245">
        <f>B36+1</f>
        <v>12</v>
      </c>
      <c r="C37" s="246"/>
      <c r="D37" s="241" t="s">
        <v>250</v>
      </c>
      <c r="E37" s="241" t="str">
        <f>"( (ln "&amp;B13&amp;" - ln "&amp;B175&amp;" - ln "&amp;B181&amp;" - ln "&amp;B211&amp;" - ln "&amp;B213&amp;") /((ln "&amp;$B$95&amp;") x 100) )"</f>
        <v>( (ln 1 - ln 95 - ln 100 - ln 125 - ln 126) /((ln 42) x 100) )</v>
      </c>
      <c r="F37" s="67"/>
      <c r="G37" s="67"/>
      <c r="H37" s="67"/>
      <c r="I37" s="67"/>
      <c r="J37" s="67"/>
      <c r="K37" s="67"/>
      <c r="L37" s="268">
        <f>(L13-L175-L181-L211-L213)/L95</f>
        <v>7.8575597747621392E-2</v>
      </c>
      <c r="M37"/>
    </row>
    <row r="38" spans="2:13">
      <c r="B38" s="245"/>
      <c r="C38" s="246"/>
      <c r="D38" s="241"/>
      <c r="E38" s="241"/>
      <c r="F38" s="246"/>
      <c r="G38" s="246"/>
      <c r="H38" s="246"/>
      <c r="I38" s="266"/>
      <c r="J38" s="266"/>
      <c r="K38" s="266"/>
      <c r="L38" s="267"/>
      <c r="M38" s="269"/>
    </row>
    <row r="39" spans="2:13">
      <c r="B39" s="245">
        <f>B37+1</f>
        <v>13</v>
      </c>
      <c r="C39" s="246"/>
      <c r="D39" s="11" t="s">
        <v>591</v>
      </c>
      <c r="E39" s="241"/>
      <c r="F39" s="246"/>
      <c r="G39" s="246"/>
      <c r="H39" s="246"/>
      <c r="I39" s="266"/>
      <c r="J39" s="266"/>
      <c r="K39" s="266"/>
      <c r="L39" s="270"/>
      <c r="M39" s="241"/>
    </row>
    <row r="40" spans="2:13">
      <c r="B40" s="245"/>
      <c r="C40" s="246"/>
      <c r="E40" s="241"/>
      <c r="F40" s="246"/>
      <c r="G40" s="246"/>
      <c r="H40" s="246"/>
      <c r="I40" s="266"/>
      <c r="J40" s="266"/>
      <c r="K40" s="266"/>
      <c r="L40" s="267"/>
      <c r="M40" s="241"/>
    </row>
    <row r="41" spans="2:13">
      <c r="B41" s="237"/>
      <c r="C41" s="246"/>
      <c r="E41" s="241"/>
      <c r="F41" s="246"/>
      <c r="G41" s="246"/>
      <c r="H41" s="246"/>
      <c r="I41" s="266"/>
      <c r="J41" s="266"/>
      <c r="K41" s="266"/>
      <c r="L41" s="267"/>
      <c r="M41" s="241"/>
    </row>
    <row r="42" spans="2:13" ht="15.75">
      <c r="B42" s="245">
        <f>+B39+1</f>
        <v>14</v>
      </c>
      <c r="C42" s="246"/>
      <c r="D42" s="1247" t="s">
        <v>432</v>
      </c>
      <c r="E42" s="1247"/>
      <c r="F42" s="1247"/>
      <c r="G42" s="1247"/>
      <c r="H42" s="1247"/>
      <c r="I42" s="1247"/>
      <c r="J42" s="1247"/>
      <c r="K42" s="1247"/>
      <c r="L42" s="1247"/>
      <c r="M42" s="241"/>
    </row>
    <row r="43" spans="2:13">
      <c r="B43" s="245"/>
      <c r="C43" s="246"/>
      <c r="E43" s="241"/>
      <c r="F43" s="246"/>
      <c r="G43" s="246"/>
      <c r="H43" s="246"/>
      <c r="I43" s="266"/>
      <c r="J43" s="266"/>
      <c r="K43" s="266"/>
      <c r="L43" s="267"/>
      <c r="M43" s="241"/>
    </row>
    <row r="44" spans="2:13">
      <c r="B44" s="245">
        <f>+B42+1</f>
        <v>15</v>
      </c>
      <c r="C44" s="246"/>
      <c r="D44" s="11" t="s">
        <v>434</v>
      </c>
      <c r="E44" s="241" t="str">
        <f>"Line "&amp;B152&amp;" Below"</f>
        <v>Line 75 Below</v>
      </c>
      <c r="F44" s="246"/>
      <c r="H44" s="246"/>
      <c r="I44" s="266"/>
      <c r="J44" s="266"/>
      <c r="K44" s="266"/>
      <c r="L44" s="271">
        <f>+G152</f>
        <v>1545655.7445670448</v>
      </c>
      <c r="M44" s="241"/>
    </row>
    <row r="45" spans="2:13">
      <c r="B45" s="245">
        <f>+B44+1</f>
        <v>16</v>
      </c>
      <c r="C45" s="246"/>
      <c r="D45" s="11" t="s">
        <v>472</v>
      </c>
      <c r="E45" s="241"/>
      <c r="F45" s="246"/>
      <c r="H45" s="246"/>
      <c r="I45" s="266"/>
      <c r="J45" s="266"/>
      <c r="K45" s="266"/>
      <c r="L45" s="597">
        <f>'WS F Misc Exp'!D28</f>
        <v>1132295.6940471041</v>
      </c>
      <c r="M45" s="241"/>
    </row>
    <row r="46" spans="2:13">
      <c r="B46" s="245">
        <f>+B45+1</f>
        <v>17</v>
      </c>
      <c r="C46" s="246"/>
      <c r="D46" s="11" t="s">
        <v>473</v>
      </c>
      <c r="E46" s="241"/>
      <c r="F46" s="246"/>
      <c r="H46" s="246"/>
      <c r="I46" s="266"/>
      <c r="J46" s="266"/>
      <c r="K46" s="266"/>
      <c r="L46" s="597">
        <f>'WS F Misc Exp'!D32</f>
        <v>365638.34567473206</v>
      </c>
      <c r="M46" s="241"/>
    </row>
    <row r="47" spans="2:13">
      <c r="B47" s="245"/>
      <c r="C47" s="246"/>
      <c r="E47" s="241"/>
      <c r="F47" s="246"/>
      <c r="H47" s="246"/>
      <c r="I47" s="266"/>
      <c r="J47" s="266"/>
      <c r="K47" s="266"/>
      <c r="L47" s="246"/>
      <c r="M47" s="241"/>
    </row>
    <row r="48" spans="2:13" ht="15.75" thickBot="1">
      <c r="B48" s="245">
        <f>+B46+1</f>
        <v>18</v>
      </c>
      <c r="C48" s="246"/>
      <c r="D48" s="11" t="s">
        <v>433</v>
      </c>
      <c r="E48" s="253" t="str">
        <f>"(Line "&amp;B44&amp;" - Line "&amp;B45&amp;" - Line "&amp;B46&amp;")"</f>
        <v>(Line 15 - Line 16 - Line 17)</v>
      </c>
      <c r="F48" s="246"/>
      <c r="H48" s="246"/>
      <c r="I48" s="266"/>
      <c r="J48" s="266"/>
      <c r="K48" s="266"/>
      <c r="L48" s="272">
        <f>+L44-L45-L46</f>
        <v>47721.704845208616</v>
      </c>
      <c r="M48" s="241"/>
    </row>
    <row r="49" spans="2:16" ht="15.75" thickTop="1">
      <c r="B49" s="245"/>
      <c r="C49" s="246"/>
      <c r="E49" s="241"/>
      <c r="F49" s="246"/>
      <c r="G49" s="246"/>
      <c r="H49" s="246"/>
      <c r="I49" s="266"/>
      <c r="J49" s="266"/>
      <c r="K49" s="266"/>
      <c r="L49" s="267"/>
      <c r="M49" s="241"/>
    </row>
    <row r="50" spans="2:16">
      <c r="B50" s="245"/>
      <c r="C50" s="246"/>
      <c r="E50" s="241"/>
      <c r="F50" s="246"/>
      <c r="G50" s="246"/>
      <c r="H50" s="246"/>
      <c r="I50" s="266"/>
      <c r="J50" s="266"/>
      <c r="K50" s="266"/>
      <c r="L50" s="267"/>
      <c r="M50" s="241"/>
    </row>
    <row r="51" spans="2:16">
      <c r="B51" s="245"/>
      <c r="C51" s="246"/>
      <c r="E51" s="241"/>
      <c r="F51" s="246"/>
      <c r="G51" s="246"/>
      <c r="H51" s="246"/>
      <c r="I51" s="266"/>
      <c r="J51" s="266"/>
      <c r="K51" s="266"/>
      <c r="L51" s="267"/>
      <c r="M51" s="241"/>
    </row>
    <row r="52" spans="2:16">
      <c r="D52" s="241"/>
      <c r="E52" s="241"/>
      <c r="G52" s="253"/>
      <c r="H52" s="241"/>
      <c r="I52" s="241"/>
      <c r="J52" s="241"/>
      <c r="K52" s="241"/>
      <c r="L52" s="241"/>
      <c r="M52" s="273"/>
    </row>
    <row r="53" spans="2:16">
      <c r="D53" s="241"/>
      <c r="E53" s="241"/>
      <c r="F53" s="246"/>
      <c r="G53" s="253"/>
      <c r="H53" s="241"/>
      <c r="I53" s="241"/>
      <c r="J53" s="241"/>
      <c r="K53" s="241"/>
      <c r="L53" s="241"/>
      <c r="M53" s="273"/>
      <c r="P53" s="274"/>
    </row>
    <row r="54" spans="2:16">
      <c r="D54" s="241"/>
      <c r="E54" s="241"/>
      <c r="F54" s="246" t="str">
        <f>F5</f>
        <v xml:space="preserve">AEP East Companies </v>
      </c>
      <c r="G54" s="253"/>
      <c r="H54" s="241"/>
      <c r="I54" s="241"/>
      <c r="J54" s="241"/>
      <c r="K54" s="241"/>
      <c r="L54" s="241"/>
      <c r="M54" s="273"/>
      <c r="P54" s="274"/>
    </row>
    <row r="55" spans="2:16">
      <c r="D55" s="241"/>
      <c r="E55" s="244"/>
      <c r="F55" s="246" t="str">
        <f>F6</f>
        <v>Transmission Cost of Service Formula Rate</v>
      </c>
      <c r="G55" s="244"/>
      <c r="H55" s="244"/>
      <c r="I55" s="244"/>
      <c r="J55" s="244"/>
      <c r="K55" s="244"/>
      <c r="L55" s="244"/>
      <c r="M55" s="275"/>
      <c r="P55" s="270"/>
    </row>
    <row r="56" spans="2:16">
      <c r="D56" s="241"/>
      <c r="E56" s="244"/>
      <c r="F56" s="258" t="str">
        <f>F7</f>
        <v>Utilizing  Actual/Projected FERC Form 1 Data</v>
      </c>
      <c r="G56" s="244"/>
      <c r="H56" s="244"/>
      <c r="I56" s="244"/>
      <c r="J56" s="244"/>
      <c r="K56" s="244"/>
      <c r="L56" s="244"/>
      <c r="M56" s="276"/>
      <c r="P56" s="270"/>
    </row>
    <row r="57" spans="2:16">
      <c r="D57" s="241"/>
      <c r="E57" s="244"/>
      <c r="F57" s="246"/>
      <c r="G57" s="244"/>
      <c r="H57" s="244"/>
      <c r="I57" s="244"/>
      <c r="J57" s="244"/>
      <c r="K57" s="244"/>
      <c r="L57" s="244"/>
      <c r="M57" s="244"/>
      <c r="P57" s="270"/>
    </row>
    <row r="58" spans="2:16">
      <c r="D58" s="241"/>
      <c r="E58" s="244"/>
      <c r="F58" s="246" t="str">
        <f>F9</f>
        <v>WHEELING POWER COMPANY</v>
      </c>
      <c r="G58" s="244"/>
      <c r="H58" s="244"/>
      <c r="I58" s="244"/>
      <c r="J58" s="244"/>
      <c r="K58" s="244"/>
      <c r="L58" s="244"/>
      <c r="M58" s="244"/>
      <c r="P58" s="270"/>
    </row>
    <row r="59" spans="2:16">
      <c r="D59" s="241"/>
      <c r="E59" s="258"/>
      <c r="F59" s="258"/>
      <c r="G59" s="258"/>
      <c r="H59" s="258"/>
      <c r="I59" s="258"/>
      <c r="J59" s="258"/>
      <c r="K59" s="258"/>
      <c r="L59" s="244"/>
      <c r="M59" s="244"/>
      <c r="P59" s="270"/>
    </row>
    <row r="60" spans="2:16">
      <c r="D60" s="246" t="s">
        <v>121</v>
      </c>
      <c r="E60" s="246" t="s">
        <v>122</v>
      </c>
      <c r="F60" s="246"/>
      <c r="G60" s="246" t="s">
        <v>123</v>
      </c>
      <c r="H60" s="244" t="s">
        <v>114</v>
      </c>
      <c r="I60" s="1242" t="s">
        <v>124</v>
      </c>
      <c r="J60" s="1243"/>
      <c r="K60" s="244"/>
      <c r="L60" s="247" t="s">
        <v>125</v>
      </c>
      <c r="M60" s="244"/>
    </row>
    <row r="61" spans="2:16">
      <c r="B61" s="237"/>
      <c r="D61" s="67"/>
      <c r="E61" s="67"/>
      <c r="F61" s="67"/>
      <c r="G61" s="271"/>
      <c r="H61" s="244"/>
      <c r="I61" s="244"/>
      <c r="J61" s="278"/>
      <c r="K61" s="244"/>
      <c r="M61" s="244"/>
    </row>
    <row r="62" spans="2:16" ht="15.75">
      <c r="B62" s="279"/>
      <c r="C62" s="246"/>
      <c r="D62" s="67"/>
      <c r="E62" s="280" t="s">
        <v>95</v>
      </c>
      <c r="F62" s="281"/>
      <c r="G62" s="244"/>
      <c r="H62" s="244"/>
      <c r="I62" s="244"/>
      <c r="J62" s="246"/>
      <c r="K62" s="244"/>
      <c r="L62" s="282" t="s">
        <v>118</v>
      </c>
      <c r="M62" s="244"/>
      <c r="P62" s="274"/>
    </row>
    <row r="63" spans="2:16" ht="15.75">
      <c r="B63" s="237"/>
      <c r="C63" s="246"/>
      <c r="D63" s="283" t="s">
        <v>94</v>
      </c>
      <c r="E63" s="284" t="s">
        <v>112</v>
      </c>
      <c r="F63" s="244"/>
      <c r="G63" s="283" t="s">
        <v>81</v>
      </c>
      <c r="H63" s="285"/>
      <c r="I63" s="1244" t="s">
        <v>119</v>
      </c>
      <c r="J63" s="1245"/>
      <c r="K63" s="285"/>
      <c r="L63" s="283" t="s">
        <v>115</v>
      </c>
      <c r="M63" s="244"/>
    </row>
    <row r="64" spans="2:16">
      <c r="B64" s="245" t="str">
        <f>B11</f>
        <v>Line</v>
      </c>
      <c r="C64" s="246"/>
      <c r="D64" s="241"/>
      <c r="E64" s="244"/>
      <c r="F64" s="244"/>
      <c r="G64" s="808" t="s">
        <v>354</v>
      </c>
      <c r="H64" s="244"/>
      <c r="I64" s="244"/>
      <c r="J64" s="244"/>
      <c r="K64" s="244"/>
      <c r="L64" s="244"/>
      <c r="M64" s="244"/>
    </row>
    <row r="65" spans="2:15" ht="15.75" thickBot="1">
      <c r="B65" s="251" t="str">
        <f>B12</f>
        <v>No.</v>
      </c>
      <c r="C65" s="246"/>
      <c r="D65" s="241" t="s">
        <v>82</v>
      </c>
      <c r="E65" s="258"/>
      <c r="F65" s="258"/>
      <c r="G65" s="244"/>
      <c r="H65" s="244"/>
      <c r="I65" s="258"/>
      <c r="J65" s="244"/>
      <c r="K65" s="244"/>
      <c r="L65" s="244"/>
      <c r="M65" s="244"/>
    </row>
    <row r="66" spans="2:15">
      <c r="B66" s="245">
        <f>+B48+1</f>
        <v>19</v>
      </c>
      <c r="C66" s="246"/>
      <c r="D66" s="241" t="s">
        <v>126</v>
      </c>
      <c r="E66" s="244" t="str">
        <f>"(Worksheet A ln "&amp;'WS A - RB Support'!A23&amp;"."&amp;'WS A - RB Support'!C8&amp;")"</f>
        <v>(Worksheet A ln 14.(b))</v>
      </c>
      <c r="F66" s="244"/>
      <c r="G66" s="257">
        <f>'WS A - RB Support'!C23</f>
        <v>489525215.45947075</v>
      </c>
      <c r="H66" s="257"/>
      <c r="I66" s="258" t="s">
        <v>127</v>
      </c>
      <c r="J66" s="259">
        <v>0</v>
      </c>
      <c r="K66" s="244"/>
      <c r="L66" s="286">
        <f>+J66*G66</f>
        <v>0</v>
      </c>
      <c r="M66" s="244"/>
    </row>
    <row r="67" spans="2:15">
      <c r="B67" s="245">
        <f>+B66+1</f>
        <v>20</v>
      </c>
      <c r="C67" s="246"/>
      <c r="D67" s="241" t="s">
        <v>377</v>
      </c>
      <c r="E67" s="244" t="str">
        <f>"(Worksheet A ln "&amp;'WS A - RB Support'!A23&amp;"."&amp;'WS A - RB Support'!D8&amp;")"</f>
        <v>(Worksheet A ln 14.(c))</v>
      </c>
      <c r="F67" s="244"/>
      <c r="G67" s="286">
        <f>-'WS A - RB Support'!D23</f>
        <v>-30350117.379999995</v>
      </c>
      <c r="H67" s="257"/>
      <c r="I67" s="258" t="s">
        <v>127</v>
      </c>
      <c r="J67" s="259">
        <v>0</v>
      </c>
      <c r="K67" s="244"/>
      <c r="L67" s="286">
        <f>+J67*G67</f>
        <v>0</v>
      </c>
      <c r="M67" s="244"/>
    </row>
    <row r="68" spans="2:15">
      <c r="B68" s="245">
        <f t="shared" ref="B68:B74" si="0">+B67+1</f>
        <v>21</v>
      </c>
      <c r="C68" s="296"/>
      <c r="D68" s="287" t="s">
        <v>128</v>
      </c>
      <c r="E68" s="244" t="str">
        <f>"(Worksheet A ln "&amp;'WS A - RB Support'!A23&amp;"."&amp;'WS A - RB Support'!E8&amp;" &amp; TCOS Ln "&amp;B237&amp;")"</f>
        <v>(Worksheet A ln 14.(d) &amp; TCOS Ln 134)</v>
      </c>
      <c r="F68" s="288"/>
      <c r="G68" s="257">
        <f>'WS A - RB Support'!E23</f>
        <v>195249113.20771009</v>
      </c>
      <c r="H68" s="257"/>
      <c r="I68" s="314" t="s">
        <v>129</v>
      </c>
      <c r="J68" s="259" t="s">
        <v>114</v>
      </c>
      <c r="K68" s="289"/>
      <c r="L68" s="286">
        <f>+L237</f>
        <v>183040865.17127377</v>
      </c>
      <c r="M68" s="289"/>
    </row>
    <row r="69" spans="2:15">
      <c r="B69" s="245">
        <f t="shared" si="0"/>
        <v>22</v>
      </c>
      <c r="C69" s="296"/>
      <c r="D69" s="241" t="s">
        <v>378</v>
      </c>
      <c r="E69" s="244" t="str">
        <f>"(Worksheet A ln "&amp;'WS A - RB Support'!A23&amp;"."&amp;'WS A - RB Support'!F8&amp;")"</f>
        <v>(Worksheet A ln 14.(e))</v>
      </c>
      <c r="F69" s="288"/>
      <c r="G69" s="257">
        <f>-'WS A - RB Support'!F23</f>
        <v>0</v>
      </c>
      <c r="H69" s="257"/>
      <c r="I69" s="314" t="s">
        <v>120</v>
      </c>
      <c r="J69" s="259">
        <f>L239</f>
        <v>0.93747347767234712</v>
      </c>
      <c r="K69" s="289"/>
      <c r="L69" s="286">
        <f>+G69*J69</f>
        <v>0</v>
      </c>
      <c r="M69" s="289"/>
    </row>
    <row r="70" spans="2:15">
      <c r="B70" s="245">
        <f>+B69+1</f>
        <v>23</v>
      </c>
      <c r="C70" s="296"/>
      <c r="D70" s="241" t="s">
        <v>130</v>
      </c>
      <c r="E70" s="244" t="str">
        <f>"(Worksheet A ln "&amp;'WS A - RB Support'!A23&amp;"."&amp;'WS A - RB Support'!G8&amp;")"</f>
        <v>(Worksheet A ln 14.(f))</v>
      </c>
      <c r="F70" s="244"/>
      <c r="G70" s="257">
        <f>'WS A - RB Support'!G23</f>
        <v>349080931.82194543</v>
      </c>
      <c r="H70" s="257"/>
      <c r="I70" s="258" t="s">
        <v>127</v>
      </c>
      <c r="J70" s="259">
        <v>0</v>
      </c>
      <c r="K70" s="244"/>
      <c r="L70" s="286">
        <f>+J70*G70</f>
        <v>0</v>
      </c>
      <c r="M70" s="244"/>
    </row>
    <row r="71" spans="2:15">
      <c r="B71" s="245">
        <f t="shared" si="0"/>
        <v>24</v>
      </c>
      <c r="C71" s="296"/>
      <c r="D71" s="241" t="s">
        <v>375</v>
      </c>
      <c r="E71" s="244" t="str">
        <f>"(Worksheet A ln "&amp;'WS A - RB Support'!A23&amp;"."&amp;'WS A - RB Support'!H8&amp;")"</f>
        <v>(Worksheet A ln 14.(g))</v>
      </c>
      <c r="F71" s="244"/>
      <c r="G71" s="286">
        <f>-'WS A - RB Support'!H23</f>
        <v>0</v>
      </c>
      <c r="H71" s="257"/>
      <c r="I71" s="258" t="s">
        <v>127</v>
      </c>
      <c r="J71" s="259">
        <v>0</v>
      </c>
      <c r="K71" s="244"/>
      <c r="L71" s="286">
        <f>+G71*J71</f>
        <v>0</v>
      </c>
      <c r="M71" s="244"/>
    </row>
    <row r="72" spans="2:15">
      <c r="B72" s="245">
        <f t="shared" si="0"/>
        <v>25</v>
      </c>
      <c r="C72" s="296"/>
      <c r="D72" s="241" t="s">
        <v>131</v>
      </c>
      <c r="E72" s="244" t="str">
        <f>"(Worksheet A ln "&amp;'WS A - RB Support'!A23&amp;"."&amp;'WS A - RB Support'!I8&amp;")"</f>
        <v>(Worksheet A ln 14.(h))</v>
      </c>
      <c r="F72" s="244"/>
      <c r="G72" s="257">
        <f>'WS A - RB Support'!I23</f>
        <v>27838663.212017596</v>
      </c>
      <c r="H72" s="257"/>
      <c r="I72" s="258" t="s">
        <v>132</v>
      </c>
      <c r="J72" s="259">
        <f>L257</f>
        <v>2.6878189917220376E-2</v>
      </c>
      <c r="K72" s="244"/>
      <c r="L72" s="286">
        <f>+J72*G72</f>
        <v>748252.8768541452</v>
      </c>
      <c r="M72" s="244"/>
    </row>
    <row r="73" spans="2:15">
      <c r="B73" s="245">
        <f t="shared" si="0"/>
        <v>26</v>
      </c>
      <c r="C73" s="296"/>
      <c r="D73" s="241" t="s">
        <v>376</v>
      </c>
      <c r="E73" s="244" t="str">
        <f>"(Worksheet A ln "&amp;'WS A - RB Support'!A23&amp;"."&amp;'WS A - RB Support'!J8&amp;")"</f>
        <v>(Worksheet A ln 14.(i))</v>
      </c>
      <c r="F73" s="244"/>
      <c r="G73" s="286">
        <f>-'WS A - RB Support'!J23</f>
        <v>60955.599999999984</v>
      </c>
      <c r="H73" s="257"/>
      <c r="I73" s="258" t="s">
        <v>132</v>
      </c>
      <c r="J73" s="259">
        <f>L257</f>
        <v>2.6878189917220376E-2</v>
      </c>
      <c r="K73" s="244"/>
      <c r="L73" s="286">
        <f>+G73*J73</f>
        <v>1638.3761933181179</v>
      </c>
      <c r="M73" s="244"/>
    </row>
    <row r="74" spans="2:15">
      <c r="B74" s="245">
        <f t="shared" si="0"/>
        <v>27</v>
      </c>
      <c r="C74" s="296"/>
      <c r="D74" s="241" t="s">
        <v>133</v>
      </c>
      <c r="E74" s="244" t="str">
        <f>"(Worksheet A ln "&amp;'WS A - RB Support'!A23&amp;"."&amp;'WS A - RB Support'!K8&amp;")"</f>
        <v>(Worksheet A ln 14.(j))</v>
      </c>
      <c r="F74" s="244"/>
      <c r="G74" s="257">
        <f>'WS A - RB Support'!K23</f>
        <v>0</v>
      </c>
      <c r="H74" s="257"/>
      <c r="I74" s="258" t="s">
        <v>132</v>
      </c>
      <c r="J74" s="259">
        <f>L257</f>
        <v>2.6878189917220376E-2</v>
      </c>
      <c r="K74" s="244"/>
      <c r="L74" s="1210">
        <f>+J74*G74</f>
        <v>0</v>
      </c>
      <c r="M74" s="244"/>
      <c r="N74" s="241"/>
      <c r="O74" s="241"/>
    </row>
    <row r="75" spans="2:15">
      <c r="B75" s="245"/>
      <c r="C75" s="296"/>
      <c r="D75" s="241"/>
      <c r="E75" s="244"/>
      <c r="F75" s="244"/>
      <c r="G75" s="257"/>
      <c r="H75" s="257"/>
      <c r="I75" s="258"/>
      <c r="J75" s="259"/>
      <c r="K75" s="244"/>
      <c r="L75" s="286"/>
      <c r="M75" s="244"/>
      <c r="N75" s="241"/>
      <c r="O75" s="241"/>
    </row>
    <row r="76" spans="2:15" ht="15.75" thickBot="1">
      <c r="B76" s="245"/>
      <c r="C76" s="296"/>
      <c r="D76" s="241"/>
      <c r="E76" s="244"/>
      <c r="F76" s="244"/>
      <c r="G76" s="345"/>
      <c r="H76" s="257"/>
      <c r="I76" s="258"/>
      <c r="J76" s="259"/>
      <c r="K76" s="244"/>
      <c r="L76" s="345"/>
      <c r="M76" s="244"/>
      <c r="N76" s="241"/>
      <c r="O76" s="241"/>
    </row>
    <row r="77" spans="2:15" ht="15.75">
      <c r="B77" s="245">
        <f>+B74+1</f>
        <v>28</v>
      </c>
      <c r="C77" s="296"/>
      <c r="D77" s="241" t="s">
        <v>47</v>
      </c>
      <c r="E77" s="246" t="str">
        <f>"(sum lns "&amp;B66&amp;" to "&amp;B74&amp;")"</f>
        <v>(sum lns 19 to 27)</v>
      </c>
      <c r="F77" s="192"/>
      <c r="G77" s="257">
        <f>SUM(G66:G76)</f>
        <v>1031404761.9211439</v>
      </c>
      <c r="H77" s="257"/>
      <c r="I77" s="280" t="s">
        <v>749</v>
      </c>
      <c r="J77" s="1209">
        <f>+L77/G77</f>
        <v>0.17819459751376732</v>
      </c>
      <c r="K77" s="244"/>
      <c r="L77" s="257">
        <f>SUM(L66:L76)</f>
        <v>183790756.42432123</v>
      </c>
      <c r="M77" s="244"/>
      <c r="N77" s="241"/>
      <c r="O77" s="241"/>
    </row>
    <row r="78" spans="2:15" ht="15.75">
      <c r="B78" s="245"/>
      <c r="C78" s="246"/>
      <c r="D78" s="241"/>
      <c r="E78" s="1219"/>
      <c r="F78" s="192"/>
      <c r="G78" s="257"/>
      <c r="H78" s="257"/>
      <c r="I78" s="281" t="s">
        <v>216</v>
      </c>
      <c r="J78" s="292">
        <f>+L68/(G70+G68+G71)</f>
        <v>0.33626816458625131</v>
      </c>
      <c r="K78" s="244"/>
      <c r="L78" s="257"/>
      <c r="M78" s="244"/>
      <c r="N78" s="293"/>
      <c r="O78" s="241"/>
    </row>
    <row r="79" spans="2:15">
      <c r="B79" s="245">
        <f>+B77+1</f>
        <v>29</v>
      </c>
      <c r="C79" s="246"/>
      <c r="D79" s="241" t="s">
        <v>24</v>
      </c>
      <c r="E79" s="258"/>
      <c r="F79" s="258"/>
      <c r="G79" s="257"/>
      <c r="H79" s="294"/>
      <c r="I79" s="258"/>
      <c r="J79" s="295"/>
      <c r="K79" s="244"/>
      <c r="L79" s="257"/>
      <c r="M79" s="244"/>
      <c r="N79" s="244"/>
      <c r="O79" s="244"/>
    </row>
    <row r="80" spans="2:15">
      <c r="B80" s="245">
        <f>+B79+1</f>
        <v>30</v>
      </c>
      <c r="C80" s="246"/>
      <c r="D80" s="241" t="str">
        <f>+D66</f>
        <v xml:space="preserve">  Production</v>
      </c>
      <c r="E80" s="244" t="str">
        <f>"(Worksheet A ln "&amp;'WS A - RB Support'!A42&amp;"."&amp;'WS A - RB Support'!C27&amp;")"</f>
        <v>(Worksheet A ln 28.(b))</v>
      </c>
      <c r="F80" s="244"/>
      <c r="G80" s="257">
        <f>'WS A - RB Support'!C42</f>
        <v>232222033.91283086</v>
      </c>
      <c r="H80" s="257"/>
      <c r="I80" s="258" t="s">
        <v>127</v>
      </c>
      <c r="J80" s="259">
        <v>0</v>
      </c>
      <c r="K80" s="244"/>
      <c r="L80" s="286">
        <f>+J80*G80</f>
        <v>0</v>
      </c>
      <c r="M80" s="244"/>
      <c r="N80" s="244"/>
      <c r="O80" s="244"/>
    </row>
    <row r="81" spans="2:15">
      <c r="B81" s="245">
        <f t="shared" ref="B81:B87" si="1">+B80+1</f>
        <v>31</v>
      </c>
      <c r="C81" s="246"/>
      <c r="D81" s="241" t="s">
        <v>377</v>
      </c>
      <c r="E81" s="244" t="str">
        <f>"(Worksheet A ln "&amp;'WS A - RB Support'!A42&amp;"."&amp;'WS A - RB Support'!D27&amp;")"</f>
        <v>(Worksheet A ln 28.(c))</v>
      </c>
      <c r="F81" s="244"/>
      <c r="G81" s="286">
        <f>-'WS A - RB Support'!D42</f>
        <v>-5785809.3200000012</v>
      </c>
      <c r="H81" s="257"/>
      <c r="I81" s="258" t="s">
        <v>127</v>
      </c>
      <c r="J81" s="259">
        <v>0</v>
      </c>
      <c r="K81" s="244"/>
      <c r="L81" s="286">
        <f>+J81*G81</f>
        <v>0</v>
      </c>
      <c r="M81" s="244"/>
      <c r="N81" s="244"/>
      <c r="O81" s="244"/>
    </row>
    <row r="82" spans="2:15" ht="15.75">
      <c r="B82" s="245">
        <f t="shared" si="1"/>
        <v>32</v>
      </c>
      <c r="C82" s="296"/>
      <c r="D82" s="287" t="str">
        <f>D68</f>
        <v xml:space="preserve">  Transmission</v>
      </c>
      <c r="E82" s="244" t="str">
        <f>"(Worksheet A ln "&amp;'WS A - RB Support'!A42&amp;"."&amp;'WS A - RB Support'!E27&amp;" &amp; "&amp;"ln "&amp;'WS A - RB Support'!A64&amp;"."&amp;'WS A - RB Support'!D47&amp;")"</f>
        <v>(Worksheet A ln 28.(d) &amp; ln 43.(c))</v>
      </c>
      <c r="F82" s="288"/>
      <c r="G82" s="290">
        <f>'WS A - RB Support'!E42</f>
        <v>47002336.311399773</v>
      </c>
      <c r="H82" s="257"/>
      <c r="I82" s="1213" t="s">
        <v>27</v>
      </c>
      <c r="J82" s="299">
        <f>L82/G82</f>
        <v>0.84867762869744334</v>
      </c>
      <c r="K82" s="289"/>
      <c r="L82" s="286">
        <f>'WS A - RB Support'!D64</f>
        <v>39889831.323998496</v>
      </c>
      <c r="M82" s="289"/>
      <c r="N82" s="244"/>
      <c r="O82" s="244"/>
    </row>
    <row r="83" spans="2:15" ht="15.75">
      <c r="B83" s="245">
        <f t="shared" si="1"/>
        <v>33</v>
      </c>
      <c r="C83" s="296"/>
      <c r="D83" s="241" t="s">
        <v>378</v>
      </c>
      <c r="E83" s="244" t="str">
        <f>"(Worksheet A ln "&amp;'WS A - RB Support'!A42&amp;"."&amp;'WS A - RB Support'!F27&amp;")"</f>
        <v>(Worksheet A ln 28.(e))</v>
      </c>
      <c r="F83" s="288"/>
      <c r="G83" s="286">
        <f>-'WS A - RB Support'!F42</f>
        <v>0</v>
      </c>
      <c r="H83" s="257"/>
      <c r="I83" s="1213" t="s">
        <v>27</v>
      </c>
      <c r="J83" s="259">
        <f>+J82</f>
        <v>0.84867762869744334</v>
      </c>
      <c r="K83" s="289"/>
      <c r="L83" s="286">
        <f t="shared" ref="L83:L88" si="2">+J83*G83</f>
        <v>0</v>
      </c>
      <c r="M83" s="289"/>
      <c r="N83" s="244"/>
      <c r="O83" s="244"/>
    </row>
    <row r="84" spans="2:15">
      <c r="B84" s="245">
        <f>+B83+1</f>
        <v>34</v>
      </c>
      <c r="C84" s="296"/>
      <c r="D84" s="241" t="str">
        <f>+D70</f>
        <v xml:space="preserve">  Distribution</v>
      </c>
      <c r="E84" s="244" t="str">
        <f>"(Worksheet A ln "&amp;'WS A - RB Support'!A42&amp;"."&amp;'WS A - RB Support'!G27&amp;")"</f>
        <v>(Worksheet A ln 28.(f))</v>
      </c>
      <c r="F84" s="244"/>
      <c r="G84" s="257">
        <f>'WS A - RB Support'!G42</f>
        <v>104645430.67034027</v>
      </c>
      <c r="H84" s="257"/>
      <c r="I84" s="258" t="s">
        <v>127</v>
      </c>
      <c r="J84" s="259">
        <v>0</v>
      </c>
      <c r="K84" s="244"/>
      <c r="L84" s="286">
        <f t="shared" si="2"/>
        <v>0</v>
      </c>
      <c r="M84" s="244"/>
      <c r="N84" s="244"/>
      <c r="O84" s="244"/>
    </row>
    <row r="85" spans="2:15">
      <c r="B85" s="245">
        <f t="shared" si="1"/>
        <v>35</v>
      </c>
      <c r="C85" s="296"/>
      <c r="D85" s="241" t="s">
        <v>375</v>
      </c>
      <c r="E85" s="244" t="str">
        <f>"(Worksheet A ln "&amp;'WS A - RB Support'!A42&amp;"."&amp;'WS A - RB Support'!H27&amp;")"</f>
        <v>(Worksheet A ln 28.(g))</v>
      </c>
      <c r="F85" s="244"/>
      <c r="G85" s="286">
        <f>-'WS A - RB Support'!H42</f>
        <v>0</v>
      </c>
      <c r="H85" s="257"/>
      <c r="I85" s="258" t="s">
        <v>127</v>
      </c>
      <c r="J85" s="259">
        <v>0</v>
      </c>
      <c r="K85" s="244"/>
      <c r="L85" s="286">
        <f t="shared" si="2"/>
        <v>0</v>
      </c>
      <c r="M85" s="244"/>
      <c r="N85" s="244"/>
      <c r="O85" s="244"/>
    </row>
    <row r="86" spans="2:15">
      <c r="B86" s="245">
        <f t="shared" si="1"/>
        <v>36</v>
      </c>
      <c r="C86" s="296"/>
      <c r="D86" s="241" t="str">
        <f>+D72</f>
        <v xml:space="preserve">  General Plant   </v>
      </c>
      <c r="E86" s="244" t="str">
        <f>"(Worksheet A ln "&amp;'WS A - RB Support'!A42&amp;"."&amp;'WS A - RB Support'!I27&amp;")"</f>
        <v>(Worksheet A ln 28.(h))</v>
      </c>
      <c r="F86" s="244"/>
      <c r="G86" s="257">
        <f>'WS A - RB Support'!I42</f>
        <v>13708366.135568392</v>
      </c>
      <c r="H86" s="257"/>
      <c r="I86" s="258" t="s">
        <v>132</v>
      </c>
      <c r="J86" s="259">
        <f>L257</f>
        <v>2.6878189917220376E-2</v>
      </c>
      <c r="K86" s="244"/>
      <c r="L86" s="286">
        <f t="shared" si="2"/>
        <v>368456.06844659959</v>
      </c>
      <c r="M86" s="244"/>
      <c r="N86" s="244"/>
      <c r="O86" s="244"/>
    </row>
    <row r="87" spans="2:15">
      <c r="B87" s="245">
        <f t="shared" si="1"/>
        <v>37</v>
      </c>
      <c r="C87" s="296"/>
      <c r="D87" s="241" t="s">
        <v>376</v>
      </c>
      <c r="E87" s="244" t="str">
        <f>"(Worksheet A ln "&amp;'WS A - RB Support'!A42&amp;"."&amp;'WS A - RB Support'!J27&amp;")"</f>
        <v>(Worksheet A ln 28.(i))</v>
      </c>
      <c r="F87" s="244"/>
      <c r="G87" s="286">
        <f>-'WS A - RB Support'!J42</f>
        <v>-102022.91796716937</v>
      </c>
      <c r="H87" s="257"/>
      <c r="I87" s="258" t="s">
        <v>132</v>
      </c>
      <c r="J87" s="259">
        <f>L257</f>
        <v>2.6878189917220376E-2</v>
      </c>
      <c r="K87" s="244"/>
      <c r="L87" s="286">
        <f t="shared" si="2"/>
        <v>-2742.1913650305733</v>
      </c>
      <c r="M87" s="244"/>
      <c r="N87" s="244"/>
      <c r="O87" s="244"/>
    </row>
    <row r="88" spans="2:15">
      <c r="B88" s="245">
        <f>+B87+1</f>
        <v>38</v>
      </c>
      <c r="C88" s="296"/>
      <c r="D88" s="241" t="str">
        <f>+D74</f>
        <v xml:space="preserve">  Intangible Plant</v>
      </c>
      <c r="E88" s="244" t="str">
        <f>"(Worksheet A ln "&amp;'WS A - RB Support'!A42&amp;"."&amp;'WS A - RB Support'!K27&amp;")"</f>
        <v>(Worksheet A ln 28.(j))</v>
      </c>
      <c r="F88" s="244"/>
      <c r="G88" s="257">
        <f>'WS A - RB Support'!K42</f>
        <v>0</v>
      </c>
      <c r="H88" s="257"/>
      <c r="I88" s="258" t="s">
        <v>132</v>
      </c>
      <c r="J88" s="259">
        <f>L257</f>
        <v>2.6878189917220376E-2</v>
      </c>
      <c r="K88" s="244"/>
      <c r="L88" s="1210">
        <f t="shared" si="2"/>
        <v>0</v>
      </c>
      <c r="M88" s="244"/>
      <c r="N88" s="244"/>
      <c r="O88" s="244"/>
    </row>
    <row r="89" spans="2:15">
      <c r="B89" s="245"/>
      <c r="C89" s="296"/>
      <c r="D89" s="241"/>
      <c r="E89" s="244"/>
      <c r="F89" s="244"/>
      <c r="G89" s="257"/>
      <c r="H89" s="257"/>
      <c r="I89" s="258"/>
      <c r="J89" s="259"/>
      <c r="K89" s="244"/>
      <c r="L89" s="286"/>
      <c r="M89" s="244"/>
      <c r="N89" s="244"/>
      <c r="O89" s="244"/>
    </row>
    <row r="90" spans="2:15" ht="15.75" thickBot="1">
      <c r="B90" s="245"/>
      <c r="C90" s="296"/>
      <c r="D90" s="241"/>
      <c r="E90" s="244"/>
      <c r="F90" s="244"/>
      <c r="G90" s="345"/>
      <c r="H90" s="257"/>
      <c r="I90" s="258"/>
      <c r="J90" s="259"/>
      <c r="K90" s="244"/>
      <c r="L90" s="345"/>
      <c r="M90" s="244"/>
      <c r="N90" s="244"/>
      <c r="O90" s="244"/>
    </row>
    <row r="91" spans="2:15">
      <c r="B91" s="245">
        <f>+B88+1</f>
        <v>39</v>
      </c>
      <c r="C91" s="296"/>
      <c r="D91" s="241" t="s">
        <v>46</v>
      </c>
      <c r="E91" s="1211" t="str">
        <f>"(sum lns "&amp;B80&amp;" to "&amp;B88&amp;")"</f>
        <v>(sum lns 30 to 38)</v>
      </c>
      <c r="F91" s="1212"/>
      <c r="G91" s="257">
        <f>SUM(G80:G90)</f>
        <v>391690334.79217213</v>
      </c>
      <c r="H91" s="257"/>
      <c r="I91" s="258"/>
      <c r="J91" s="244"/>
      <c r="K91" s="257"/>
      <c r="L91" s="257">
        <f>SUM(L80:L90)</f>
        <v>40255545.201080061</v>
      </c>
      <c r="M91" s="244"/>
      <c r="N91" s="244"/>
      <c r="O91" s="244"/>
    </row>
    <row r="92" spans="2:15">
      <c r="B92" s="245"/>
      <c r="C92" s="246"/>
      <c r="E92" s="1220"/>
      <c r="F92" s="1212"/>
      <c r="G92" s="257"/>
      <c r="H92" s="257"/>
      <c r="I92" s="258"/>
      <c r="J92" s="297"/>
      <c r="K92" s="244"/>
      <c r="L92" s="257"/>
      <c r="M92" s="244"/>
      <c r="N92" s="244"/>
      <c r="O92" s="244"/>
    </row>
    <row r="93" spans="2:15">
      <c r="B93" s="245">
        <f>+B91+1</f>
        <v>40</v>
      </c>
      <c r="C93" s="246"/>
      <c r="D93" s="241" t="s">
        <v>83</v>
      </c>
      <c r="E93" s="258"/>
      <c r="F93" s="258"/>
      <c r="G93" s="257"/>
      <c r="H93" s="257"/>
      <c r="I93" s="258"/>
      <c r="J93" s="244"/>
      <c r="K93" s="244"/>
      <c r="L93" s="257"/>
      <c r="M93" s="244"/>
      <c r="N93" s="244"/>
      <c r="O93" s="244"/>
    </row>
    <row r="94" spans="2:15">
      <c r="B94" s="245">
        <f t="shared" ref="B94:B98" si="3">+B93+1</f>
        <v>41</v>
      </c>
      <c r="C94" s="296"/>
      <c r="D94" s="241" t="str">
        <f>+D80</f>
        <v xml:space="preserve">  Production</v>
      </c>
      <c r="E94" s="244" t="str">
        <f>" (ln "&amp;B66&amp;" + ln "&amp;B67&amp;" - ln "&amp;B80&amp;" - ln "&amp;B81&amp;")"</f>
        <v xml:space="preserve"> (ln 19 + ln 20 - ln 30 - ln 31)</v>
      </c>
      <c r="F94" s="244"/>
      <c r="G94" s="257">
        <f>G66+G67-G80-G81</f>
        <v>232738873.48663989</v>
      </c>
      <c r="H94" s="257"/>
      <c r="I94" s="258"/>
      <c r="J94" s="298"/>
      <c r="K94" s="244"/>
      <c r="L94" s="257">
        <f>L66+L67-L80-L81</f>
        <v>0</v>
      </c>
      <c r="M94" s="244"/>
      <c r="N94" s="244"/>
      <c r="O94" s="244"/>
    </row>
    <row r="95" spans="2:15">
      <c r="B95" s="245">
        <f t="shared" si="3"/>
        <v>42</v>
      </c>
      <c r="C95" s="296"/>
      <c r="D95" s="241" t="str">
        <f>+D82</f>
        <v xml:space="preserve">  Transmission</v>
      </c>
      <c r="E95" s="244" t="str">
        <f>" (ln "&amp;B68&amp;" + ln "&amp;B69&amp;" - ln "&amp;B82&amp;" - ln "&amp;B83&amp;")"</f>
        <v xml:space="preserve"> (ln 21 + ln 22 - ln 32 - ln 33)</v>
      </c>
      <c r="F95" s="244"/>
      <c r="G95" s="257">
        <f>+G68+G69-G82-G83</f>
        <v>148246776.89631033</v>
      </c>
      <c r="H95" s="257"/>
      <c r="I95" s="258"/>
      <c r="J95" s="299"/>
      <c r="K95" s="244"/>
      <c r="L95" s="257">
        <f>+L68+L69-L82-L83</f>
        <v>143151033.84727526</v>
      </c>
      <c r="M95" s="244"/>
      <c r="N95" s="244"/>
      <c r="O95" s="244"/>
    </row>
    <row r="96" spans="2:15">
      <c r="B96" s="245">
        <f>+B95+1</f>
        <v>43</v>
      </c>
      <c r="C96" s="296"/>
      <c r="D96" s="241" t="str">
        <f>+D84</f>
        <v xml:space="preserve">  Distribution</v>
      </c>
      <c r="E96" s="244" t="str">
        <f>" (ln "&amp;B70&amp;" + ln "&amp;B71&amp;" - ln "&amp;B84&amp;" - ln "&amp;B85&amp;")"</f>
        <v xml:space="preserve"> (ln 23 + ln 24 - ln 34 - ln 35)</v>
      </c>
      <c r="F96" s="244"/>
      <c r="G96" s="257">
        <f>+G70+G71-G84-G85</f>
        <v>244435501.15160516</v>
      </c>
      <c r="H96" s="257"/>
      <c r="I96" s="258"/>
      <c r="J96" s="297"/>
      <c r="K96" s="244"/>
      <c r="L96" s="257">
        <f>+L70+L71-L84-L85</f>
        <v>0</v>
      </c>
      <c r="M96" s="244"/>
      <c r="O96" s="244"/>
    </row>
    <row r="97" spans="2:15">
      <c r="B97" s="245">
        <f t="shared" si="3"/>
        <v>44</v>
      </c>
      <c r="C97" s="296"/>
      <c r="D97" s="241" t="str">
        <f>+D86</f>
        <v xml:space="preserve">  General Plant   </v>
      </c>
      <c r="E97" s="244" t="str">
        <f>" (ln "&amp;B72&amp;" + ln "&amp;B73&amp;" - ln "&amp;B86&amp;" - ln "&amp;B87&amp;")"</f>
        <v xml:space="preserve"> (ln 25 + ln 26 - ln 36 - ln 37)</v>
      </c>
      <c r="F97" s="244"/>
      <c r="G97" s="257">
        <f>+G72+G73-G86-G87</f>
        <v>14293275.594416374</v>
      </c>
      <c r="H97" s="257"/>
      <c r="I97" s="258"/>
      <c r="J97" s="297"/>
      <c r="K97" s="244"/>
      <c r="L97" s="257">
        <f>+L72+L73-L86-L87</f>
        <v>384177.37596589437</v>
      </c>
      <c r="M97" s="244"/>
      <c r="N97" s="244"/>
      <c r="O97" s="244"/>
    </row>
    <row r="98" spans="2:15">
      <c r="B98" s="245">
        <f t="shared" si="3"/>
        <v>45</v>
      </c>
      <c r="C98" s="296"/>
      <c r="D98" s="241" t="str">
        <f>+D88</f>
        <v xml:space="preserve">  Intangible Plant</v>
      </c>
      <c r="E98" s="244" t="str">
        <f>" (ln "&amp;B74&amp;" - ln "&amp;B88&amp;")"</f>
        <v xml:space="preserve"> (ln 27 - ln 38)</v>
      </c>
      <c r="F98" s="244"/>
      <c r="G98" s="257">
        <f>+G74-G88</f>
        <v>0</v>
      </c>
      <c r="H98" s="257"/>
      <c r="I98" s="258"/>
      <c r="J98" s="297"/>
      <c r="K98" s="244"/>
      <c r="L98" s="257">
        <f>+L74-L88</f>
        <v>0</v>
      </c>
      <c r="M98" s="244"/>
      <c r="N98" s="244"/>
      <c r="O98" s="244"/>
    </row>
    <row r="99" spans="2:15" ht="15.75" thickBot="1">
      <c r="B99" s="245"/>
      <c r="C99" s="296"/>
      <c r="D99" s="241"/>
      <c r="E99" s="244"/>
      <c r="F99" s="244"/>
      <c r="G99" s="291"/>
      <c r="H99" s="257"/>
      <c r="I99" s="258"/>
      <c r="J99" s="297"/>
      <c r="K99" s="244"/>
      <c r="L99" s="291"/>
      <c r="M99" s="244"/>
      <c r="N99" s="244"/>
      <c r="O99" s="244"/>
    </row>
    <row r="100" spans="2:15" ht="15.75">
      <c r="B100" s="245">
        <f>+B98+1</f>
        <v>46</v>
      </c>
      <c r="C100" s="296"/>
      <c r="D100" s="241" t="s">
        <v>45</v>
      </c>
      <c r="E100" s="241" t="str">
        <f>"(sum lns "&amp;B94&amp;" to "&amp;B98&amp;")"</f>
        <v>(sum lns 41 to 45)</v>
      </c>
      <c r="F100" s="244"/>
      <c r="G100" s="257">
        <f>SUM(G94:G99)</f>
        <v>639714427.1289717</v>
      </c>
      <c r="H100" s="257"/>
      <c r="I100" s="280" t="s">
        <v>750</v>
      </c>
      <c r="J100" s="1209">
        <f>+L100/G100</f>
        <v>0.22437388487144946</v>
      </c>
      <c r="K100" s="244"/>
      <c r="L100" s="257">
        <f>SUM(L94:L99)</f>
        <v>143535211.22324115</v>
      </c>
      <c r="M100" s="244"/>
      <c r="N100" s="244"/>
      <c r="O100" s="244"/>
    </row>
    <row r="101" spans="2:15">
      <c r="B101" s="245"/>
      <c r="C101" s="246"/>
      <c r="D101" s="241"/>
      <c r="E101" s="244"/>
      <c r="F101" s="244"/>
      <c r="G101" s="257"/>
      <c r="H101" s="257"/>
      <c r="I101" s="308"/>
      <c r="J101" s="301"/>
      <c r="K101" s="244"/>
      <c r="L101" s="257"/>
      <c r="M101" s="244"/>
      <c r="N101" s="244"/>
      <c r="O101" s="244"/>
    </row>
    <row r="102" spans="2:15">
      <c r="B102" s="245"/>
      <c r="C102" s="246"/>
      <c r="G102" s="3"/>
      <c r="H102" s="3"/>
      <c r="I102" s="76"/>
      <c r="J102" s="3"/>
      <c r="K102" s="3"/>
      <c r="L102" s="3"/>
      <c r="M102"/>
      <c r="N102" s="244"/>
      <c r="O102" s="244"/>
    </row>
    <row r="103" spans="2:15">
      <c r="B103" s="245">
        <f>+B100+1</f>
        <v>47</v>
      </c>
      <c r="C103" s="246"/>
      <c r="D103" s="241" t="s">
        <v>326</v>
      </c>
      <c r="E103" s="244" t="s">
        <v>303</v>
      </c>
      <c r="F103" s="258"/>
      <c r="G103" s="3"/>
      <c r="H103" s="3"/>
      <c r="I103" s="76"/>
      <c r="J103" s="3"/>
      <c r="K103" s="3"/>
      <c r="L103" s="3"/>
      <c r="M103"/>
      <c r="N103" s="244"/>
      <c r="O103" s="244"/>
    </row>
    <row r="104" spans="2:15">
      <c r="B104" s="245">
        <f t="shared" ref="B104:B109" si="4">+B103+1</f>
        <v>48</v>
      </c>
      <c r="C104" s="296"/>
      <c r="D104" s="241" t="s">
        <v>193</v>
      </c>
      <c r="E104" s="244" t="s">
        <v>536</v>
      </c>
      <c r="F104" s="244"/>
      <c r="G104" s="257">
        <f>-'WS B ADIT &amp; ITC'!I17</f>
        <v>-39949221.729999997</v>
      </c>
      <c r="H104" s="257"/>
      <c r="I104" s="258" t="s">
        <v>127</v>
      </c>
      <c r="J104" s="259"/>
      <c r="K104" s="244"/>
      <c r="L104" s="257">
        <f>'WS B ADIT &amp; ITC'!I20</f>
        <v>0</v>
      </c>
      <c r="M104" s="244"/>
      <c r="N104" s="244"/>
      <c r="O104" s="244"/>
    </row>
    <row r="105" spans="2:15">
      <c r="B105" s="245">
        <f t="shared" si="4"/>
        <v>49</v>
      </c>
      <c r="C105" s="296"/>
      <c r="D105" s="241" t="s">
        <v>194</v>
      </c>
      <c r="E105" s="244" t="s">
        <v>537</v>
      </c>
      <c r="F105" s="244"/>
      <c r="G105" s="257">
        <f>-'WS B ADIT &amp; ITC'!I25</f>
        <v>-155370324.4799934</v>
      </c>
      <c r="H105" s="257"/>
      <c r="I105" s="258" t="s">
        <v>129</v>
      </c>
      <c r="J105" s="259"/>
      <c r="K105" s="244"/>
      <c r="L105" s="257">
        <f>-'WS B ADIT &amp; ITC'!I28</f>
        <v>-20831981.261072621</v>
      </c>
      <c r="M105" s="244"/>
      <c r="N105" s="244"/>
      <c r="O105" s="244"/>
    </row>
    <row r="106" spans="2:15">
      <c r="B106" s="245">
        <f t="shared" si="4"/>
        <v>50</v>
      </c>
      <c r="C106" s="296"/>
      <c r="D106" s="241" t="s">
        <v>195</v>
      </c>
      <c r="E106" s="244" t="s">
        <v>538</v>
      </c>
      <c r="F106" s="244"/>
      <c r="G106" s="257">
        <f>-'WS B ADIT &amp; ITC'!I33</f>
        <v>-79130160.116761059</v>
      </c>
      <c r="H106" s="257"/>
      <c r="I106" s="258" t="s">
        <v>129</v>
      </c>
      <c r="J106" s="259"/>
      <c r="K106" s="244"/>
      <c r="L106" s="257">
        <f>-'WS B ADIT &amp; ITC'!I36</f>
        <v>-382941.87344953418</v>
      </c>
      <c r="M106" s="244"/>
      <c r="N106" s="244"/>
      <c r="O106" s="244"/>
    </row>
    <row r="107" spans="2:15">
      <c r="B107" s="245">
        <f t="shared" si="4"/>
        <v>51</v>
      </c>
      <c r="C107" s="296"/>
      <c r="D107" s="241" t="s">
        <v>196</v>
      </c>
      <c r="E107" s="244" t="s">
        <v>539</v>
      </c>
      <c r="F107" s="244"/>
      <c r="G107" s="257">
        <f>'WS B ADIT &amp; ITC'!I41</f>
        <v>9582142.0827118885</v>
      </c>
      <c r="H107" s="257"/>
      <c r="I107" s="258" t="s">
        <v>129</v>
      </c>
      <c r="J107" s="259"/>
      <c r="K107" s="244"/>
      <c r="L107" s="257">
        <f>'WS B ADIT &amp; ITC'!I44</f>
        <v>2655299.0219714968</v>
      </c>
      <c r="M107" s="244"/>
      <c r="N107" s="244"/>
      <c r="O107" s="244"/>
    </row>
    <row r="108" spans="2:15" ht="15.75" thickBot="1">
      <c r="B108" s="245">
        <f t="shared" si="4"/>
        <v>52</v>
      </c>
      <c r="C108" s="296"/>
      <c r="D108" s="237" t="s">
        <v>134</v>
      </c>
      <c r="E108" s="244" t="s">
        <v>540</v>
      </c>
      <c r="G108" s="291">
        <f>-'WS B ADIT &amp; ITC'!I51</f>
        <v>0</v>
      </c>
      <c r="H108" s="257"/>
      <c r="I108" s="258" t="s">
        <v>129</v>
      </c>
      <c r="J108" s="259"/>
      <c r="K108" s="244"/>
      <c r="L108" s="291">
        <f>-'WS B ADIT &amp; ITC'!I52</f>
        <v>0</v>
      </c>
      <c r="M108" s="302"/>
      <c r="N108" s="244"/>
      <c r="O108" s="244"/>
    </row>
    <row r="109" spans="2:15">
      <c r="B109" s="245">
        <f t="shared" si="4"/>
        <v>53</v>
      </c>
      <c r="C109" s="296"/>
      <c r="D109" s="241" t="s">
        <v>92</v>
      </c>
      <c r="E109" s="241" t="str">
        <f>"(sum lns "&amp;B104&amp;" to "&amp;B108&amp;")"</f>
        <v>(sum lns 48 to 52)</v>
      </c>
      <c r="F109" s="244"/>
      <c r="G109" s="257">
        <f>SUM(G104:G108)</f>
        <v>-264867564.24404258</v>
      </c>
      <c r="H109" s="3"/>
      <c r="I109" s="258"/>
      <c r="J109" s="303"/>
      <c r="K109" s="244"/>
      <c r="L109" s="257">
        <f>SUM(L104:L108)</f>
        <v>-18559624.112550657</v>
      </c>
      <c r="M109" s="244"/>
      <c r="N109" s="304"/>
    </row>
    <row r="110" spans="2:15">
      <c r="B110" s="245"/>
      <c r="C110" s="246"/>
      <c r="D110" s="241"/>
      <c r="E110" s="244"/>
      <c r="F110" s="244"/>
      <c r="G110" s="257"/>
      <c r="H110" s="3"/>
      <c r="I110" s="258"/>
      <c r="J110" s="297"/>
      <c r="K110" s="244"/>
      <c r="L110" s="257"/>
      <c r="M110" s="244"/>
    </row>
    <row r="111" spans="2:15">
      <c r="B111" s="245">
        <f>+B109+1</f>
        <v>54</v>
      </c>
      <c r="C111" s="246"/>
      <c r="D111" s="241" t="s">
        <v>205</v>
      </c>
      <c r="E111" s="244" t="str">
        <f>"(Worksheet A ln "&amp;'WS A - RB Support'!A69&amp;"."&amp;'WS A - RB Support'!F68&amp;" &amp; "&amp;"ln "&amp;'WS A - RB Support'!A71&amp;"."&amp;'WS A - RB Support'!F68&amp;")"</f>
        <v>(Worksheet A ln 44.(e) &amp; ln 45.(e))</v>
      </c>
      <c r="F111" s="244"/>
      <c r="G111" s="257">
        <f>'WS A - RB Support'!F69</f>
        <v>0</v>
      </c>
      <c r="H111" s="3"/>
      <c r="I111" s="258" t="s">
        <v>129</v>
      </c>
      <c r="J111" s="259"/>
      <c r="K111" s="244"/>
      <c r="L111" s="257">
        <f>'WS A - RB Support'!F71</f>
        <v>0</v>
      </c>
      <c r="M111" s="244"/>
    </row>
    <row r="112" spans="2:15">
      <c r="B112" s="245"/>
      <c r="C112" s="246"/>
      <c r="D112" s="241"/>
      <c r="E112" s="244"/>
      <c r="F112" s="244"/>
      <c r="G112" s="257"/>
      <c r="H112" s="3"/>
      <c r="I112" s="258"/>
      <c r="J112" s="259"/>
      <c r="K112" s="244"/>
      <c r="L112" s="257"/>
      <c r="M112" s="244"/>
    </row>
    <row r="113" spans="2:13">
      <c r="B113" s="245">
        <f>+B111+1</f>
        <v>55</v>
      </c>
      <c r="C113" s="246"/>
      <c r="D113" s="241" t="s">
        <v>327</v>
      </c>
      <c r="E113" s="244" t="str">
        <f>"(Worksheet A ln "&amp;'WS A - RB Support'!A80&amp;"."&amp;'WS A - RB Support'!F68&amp;")"</f>
        <v>(Worksheet A ln 51.(e))</v>
      </c>
      <c r="F113" s="244"/>
      <c r="G113" s="257">
        <f>'WS A - RB Support'!F80</f>
        <v>0</v>
      </c>
      <c r="H113" s="3"/>
      <c r="I113" s="258" t="s">
        <v>129</v>
      </c>
      <c r="J113" s="244"/>
      <c r="K113" s="244"/>
      <c r="L113" s="257">
        <f>+G113</f>
        <v>0</v>
      </c>
      <c r="M113" s="244"/>
    </row>
    <row r="114" spans="2:13">
      <c r="B114" s="245"/>
      <c r="C114" s="246"/>
      <c r="D114" s="241"/>
      <c r="E114" s="244"/>
      <c r="F114" s="244"/>
      <c r="G114" s="257"/>
      <c r="H114" s="3"/>
      <c r="I114" s="258"/>
      <c r="J114" s="244"/>
      <c r="K114" s="244"/>
      <c r="L114" s="257"/>
      <c r="M114" s="244"/>
    </row>
    <row r="115" spans="2:13" ht="14.25" customHeight="1">
      <c r="B115" s="245">
        <f>+B113+1</f>
        <v>56</v>
      </c>
      <c r="C115" s="296"/>
      <c r="D115" s="253" t="s">
        <v>738</v>
      </c>
      <c r="E115" s="244" t="str">
        <f>"(Worksheet A ln "&amp;'WS A - RB Support'!A88&amp;"."&amp;'WS A - RB Support'!F68&amp;")"</f>
        <v>(Worksheet A ln 54.(e))</v>
      </c>
      <c r="F115" s="244"/>
      <c r="G115" s="257">
        <f>-'WS A - RB Support'!F88</f>
        <v>-430971.27999999997</v>
      </c>
      <c r="H115" s="257"/>
      <c r="I115" s="258" t="s">
        <v>132</v>
      </c>
      <c r="J115" s="259">
        <f>L257</f>
        <v>2.6878189917220376E-2</v>
      </c>
      <c r="K115" s="244"/>
      <c r="L115" s="257">
        <f>G115*J115</f>
        <v>-11583.727912707558</v>
      </c>
      <c r="M115" s="244"/>
    </row>
    <row r="116" spans="2:13">
      <c r="B116" s="245"/>
      <c r="C116" s="246"/>
      <c r="D116" s="241"/>
      <c r="E116" s="244"/>
      <c r="F116" s="244"/>
      <c r="G116" s="257"/>
      <c r="H116" s="3"/>
      <c r="I116" s="258"/>
      <c r="J116" s="244"/>
      <c r="K116" s="244"/>
      <c r="L116" s="257"/>
      <c r="M116" s="244"/>
    </row>
    <row r="117" spans="2:13">
      <c r="B117" s="245">
        <f>+B115+1</f>
        <v>57</v>
      </c>
      <c r="C117" s="246"/>
      <c r="D117" s="241" t="s">
        <v>93</v>
      </c>
      <c r="E117" s="244" t="s">
        <v>498</v>
      </c>
      <c r="F117" s="244"/>
      <c r="G117" s="257"/>
      <c r="H117" s="3"/>
      <c r="I117" s="258"/>
      <c r="J117" s="244"/>
      <c r="K117" s="244"/>
      <c r="L117" s="257"/>
      <c r="M117" s="244"/>
    </row>
    <row r="118" spans="2:13">
      <c r="B118" s="245">
        <f t="shared" ref="B118:B126" si="5">+B117+1</f>
        <v>58</v>
      </c>
      <c r="C118" s="296"/>
      <c r="D118" s="241" t="s">
        <v>204</v>
      </c>
      <c r="E118" s="237" t="str">
        <f>"(1/8 * ln "&amp;B155&amp;")"</f>
        <v>(1/8 * ln 78)</v>
      </c>
      <c r="G118" s="257">
        <f>+G155/8</f>
        <v>156747.08932105079</v>
      </c>
      <c r="H118" s="244"/>
      <c r="I118" s="258"/>
      <c r="J118" s="297"/>
      <c r="K118" s="244"/>
      <c r="L118" s="257">
        <f>+L155/8</f>
        <v>146946.2389408235</v>
      </c>
      <c r="M118" s="241"/>
    </row>
    <row r="119" spans="2:13">
      <c r="B119" s="245">
        <f t="shared" si="5"/>
        <v>59</v>
      </c>
      <c r="C119" s="296"/>
      <c r="D119" s="241" t="s">
        <v>335</v>
      </c>
      <c r="E119" s="244" t="s">
        <v>541</v>
      </c>
      <c r="F119" s="244"/>
      <c r="G119" s="257">
        <f>'WS C  - Working Capital'!I17</f>
        <v>1759</v>
      </c>
      <c r="H119" s="192"/>
      <c r="I119" s="258" t="s">
        <v>120</v>
      </c>
      <c r="J119" s="259">
        <f>L239</f>
        <v>0.93747347767234712</v>
      </c>
      <c r="K119" s="244"/>
      <c r="L119" s="257">
        <f>+J119*G119</f>
        <v>1649.0158472256585</v>
      </c>
      <c r="M119" s="244"/>
    </row>
    <row r="120" spans="2:13">
      <c r="B120" s="245"/>
      <c r="C120" s="296"/>
      <c r="D120" s="241"/>
      <c r="E120" s="244"/>
      <c r="F120" s="244"/>
      <c r="G120" s="257"/>
      <c r="H120" s="192"/>
      <c r="I120" s="258"/>
      <c r="J120" s="259"/>
      <c r="K120" s="244"/>
      <c r="L120" s="257"/>
      <c r="M120" s="244"/>
    </row>
    <row r="121" spans="2:13">
      <c r="B121" s="245">
        <f>+B119+1</f>
        <v>60</v>
      </c>
      <c r="C121" s="296"/>
      <c r="D121" s="241" t="s">
        <v>336</v>
      </c>
      <c r="E121" s="244" t="s">
        <v>542</v>
      </c>
      <c r="F121" s="244"/>
      <c r="G121" s="257">
        <f>'WS C  - Working Capital'!I21</f>
        <v>10457</v>
      </c>
      <c r="H121" s="192"/>
      <c r="I121" s="258" t="s">
        <v>132</v>
      </c>
      <c r="J121" s="259">
        <f>L257</f>
        <v>2.6878189917220376E-2</v>
      </c>
      <c r="K121" s="244"/>
      <c r="L121" s="257">
        <f>+J121*G121</f>
        <v>281.06523196437348</v>
      </c>
      <c r="M121" s="244"/>
    </row>
    <row r="122" spans="2:13">
      <c r="B122" s="245">
        <f t="shared" si="5"/>
        <v>61</v>
      </c>
      <c r="C122" s="296"/>
      <c r="D122" s="241" t="s">
        <v>529</v>
      </c>
      <c r="E122" s="244" t="s">
        <v>543</v>
      </c>
      <c r="F122" s="244"/>
      <c r="G122" s="257">
        <f>'WS C  - Working Capital'!I23</f>
        <v>0</v>
      </c>
      <c r="H122" s="3"/>
      <c r="I122" s="258" t="s">
        <v>749</v>
      </c>
      <c r="J122" s="259">
        <f>J77</f>
        <v>0.17819459751376732</v>
      </c>
      <c r="K122" s="244"/>
      <c r="L122" s="257">
        <f>+J122*G122</f>
        <v>0</v>
      </c>
      <c r="M122" s="244"/>
    </row>
    <row r="123" spans="2:13">
      <c r="B123" s="245">
        <f t="shared" si="5"/>
        <v>62</v>
      </c>
      <c r="C123" s="296"/>
      <c r="D123" s="241" t="s">
        <v>208</v>
      </c>
      <c r="E123" s="244" t="s">
        <v>572</v>
      </c>
      <c r="F123" s="244"/>
      <c r="G123" s="257">
        <f>'WS C  - Working Capital'!J33</f>
        <v>46357276.515999988</v>
      </c>
      <c r="H123" s="3"/>
      <c r="I123" s="258" t="s">
        <v>132</v>
      </c>
      <c r="J123" s="259">
        <f>L257</f>
        <v>2.6878189917220376E-2</v>
      </c>
      <c r="K123" s="244"/>
      <c r="L123" s="257">
        <f>+J123*G123</f>
        <v>1245999.6822421479</v>
      </c>
      <c r="M123" s="244"/>
    </row>
    <row r="124" spans="2:13">
      <c r="B124" s="245">
        <f t="shared" si="5"/>
        <v>63</v>
      </c>
      <c r="C124" s="296"/>
      <c r="D124" s="241" t="s">
        <v>209</v>
      </c>
      <c r="E124" s="244" t="s">
        <v>571</v>
      </c>
      <c r="F124" s="244"/>
      <c r="G124" s="257">
        <f>'WS C  - Working Capital'!I33</f>
        <v>13759499.499165442</v>
      </c>
      <c r="H124" s="3"/>
      <c r="I124" s="258" t="s">
        <v>749</v>
      </c>
      <c r="J124" s="259">
        <f>J77</f>
        <v>0.17819459751376732</v>
      </c>
      <c r="K124" s="244"/>
      <c r="L124" s="257">
        <f>+G124*J124</f>
        <v>2451868.4752446688</v>
      </c>
      <c r="M124" s="244"/>
    </row>
    <row r="125" spans="2:13">
      <c r="B125" s="245">
        <f t="shared" si="5"/>
        <v>64</v>
      </c>
      <c r="C125" s="296"/>
      <c r="D125" s="241" t="s">
        <v>305</v>
      </c>
      <c r="E125" s="244" t="s">
        <v>573</v>
      </c>
      <c r="F125" s="244"/>
      <c r="G125" s="257">
        <f>'WS C  - Working Capital'!G33</f>
        <v>0</v>
      </c>
      <c r="H125" s="3"/>
      <c r="I125" s="258" t="s">
        <v>129</v>
      </c>
      <c r="J125" s="259">
        <v>1</v>
      </c>
      <c r="K125" s="244"/>
      <c r="L125" s="257">
        <f>+G125*J125</f>
        <v>0</v>
      </c>
      <c r="M125" s="244"/>
    </row>
    <row r="126" spans="2:13" ht="15.75" thickBot="1">
      <c r="B126" s="245">
        <f t="shared" si="5"/>
        <v>65</v>
      </c>
      <c r="C126" s="296"/>
      <c r="D126" s="241" t="s">
        <v>105</v>
      </c>
      <c r="E126" s="244" t="s">
        <v>574</v>
      </c>
      <c r="F126" s="244"/>
      <c r="G126" s="291">
        <f>'WS C  - Working Capital'!E33</f>
        <v>-6075061.4326566197</v>
      </c>
      <c r="H126" s="257"/>
      <c r="I126" s="258" t="s">
        <v>127</v>
      </c>
      <c r="J126" s="259">
        <v>0</v>
      </c>
      <c r="K126" s="244"/>
      <c r="L126" s="291">
        <f>+G126*J126</f>
        <v>0</v>
      </c>
      <c r="M126" s="244"/>
    </row>
    <row r="127" spans="2:13">
      <c r="B127" s="245">
        <f>+B126+1</f>
        <v>66</v>
      </c>
      <c r="C127" s="296"/>
      <c r="D127" s="241" t="s">
        <v>44</v>
      </c>
      <c r="E127" s="241" t="str">
        <f>"(sum lns "&amp;B118&amp;" to "&amp;B126&amp;")"</f>
        <v>(sum lns 58 to 65)</v>
      </c>
      <c r="F127" s="241"/>
      <c r="G127" s="257">
        <f>SUM(G118:G126)</f>
        <v>54210677.671829864</v>
      </c>
      <c r="H127" s="241"/>
      <c r="I127" s="246"/>
      <c r="J127" s="241"/>
      <c r="K127" s="241"/>
      <c r="L127" s="257">
        <f>SUM(L118:L126)</f>
        <v>3846744.4775068304</v>
      </c>
      <c r="M127" s="241"/>
    </row>
    <row r="128" spans="2:13">
      <c r="B128" s="245"/>
      <c r="C128" s="246"/>
      <c r="D128" s="241"/>
      <c r="E128" s="241"/>
      <c r="F128" s="241"/>
      <c r="G128" s="257"/>
      <c r="H128" s="241"/>
      <c r="I128" s="246"/>
      <c r="J128" s="241"/>
      <c r="K128" s="241"/>
      <c r="L128" s="257"/>
      <c r="M128" s="241"/>
    </row>
    <row r="129" spans="2:15">
      <c r="B129" s="245">
        <f>+B127+1</f>
        <v>67</v>
      </c>
      <c r="C129" s="246"/>
      <c r="D129" s="241" t="s">
        <v>31</v>
      </c>
      <c r="E129" s="241" t="s">
        <v>544</v>
      </c>
      <c r="F129" s="241"/>
      <c r="G129" s="257">
        <f>+'WS D IPP Credits'!C23</f>
        <v>0</v>
      </c>
      <c r="H129" s="241"/>
      <c r="I129" s="305" t="s">
        <v>129</v>
      </c>
      <c r="J129" s="259">
        <v>1</v>
      </c>
      <c r="K129" s="244"/>
      <c r="L129" s="257">
        <f>+J129*G129</f>
        <v>0</v>
      </c>
      <c r="M129" s="241"/>
    </row>
    <row r="130" spans="2:15" ht="15.75" thickBot="1">
      <c r="B130" s="245"/>
      <c r="E130" s="244"/>
      <c r="F130" s="244"/>
      <c r="G130" s="291"/>
      <c r="H130" s="244"/>
      <c r="I130" s="258"/>
      <c r="J130" s="244"/>
      <c r="K130" s="244"/>
      <c r="L130" s="291"/>
      <c r="M130" s="244"/>
    </row>
    <row r="131" spans="2:15" ht="15.75" thickBot="1">
      <c r="B131" s="245">
        <f>+B129+1</f>
        <v>68</v>
      </c>
      <c r="C131" s="246"/>
      <c r="D131" s="241" t="str">
        <f>"RATE BASE  (sum lns "&amp;B100&amp;", "&amp;B109&amp;", "&amp;B111&amp;", "&amp;B113&amp;", "&amp;B115&amp;", "&amp;B127&amp;", "&amp;B129&amp;")"</f>
        <v>RATE BASE  (sum lns 46, 53, 54, 55, 56, 66, 67)</v>
      </c>
      <c r="E131" s="244"/>
      <c r="F131" s="244"/>
      <c r="G131" s="809">
        <f>+G127+G111+G109+G100+G129+G113+G115</f>
        <v>428626569.27675903</v>
      </c>
      <c r="H131" s="244"/>
      <c r="I131" s="244"/>
      <c r="J131" s="297"/>
      <c r="K131" s="244"/>
      <c r="L131" s="809">
        <f>+L127+L111+L109+L100+L129+L113+L115</f>
        <v>128810747.86028461</v>
      </c>
      <c r="M131" s="244"/>
    </row>
    <row r="132" spans="2:15" ht="16.5" thickTop="1">
      <c r="B132" s="245"/>
      <c r="C132" s="67"/>
      <c r="D132" s="67"/>
      <c r="E132" s="67"/>
      <c r="F132" s="67"/>
      <c r="G132" s="67"/>
      <c r="H132" s="67"/>
      <c r="I132" s="240"/>
      <c r="J132" s="240"/>
      <c r="K132" s="240"/>
      <c r="L132" s="779"/>
    </row>
    <row r="133" spans="2:15">
      <c r="B133" s="306"/>
      <c r="C133" s="246"/>
      <c r="D133" s="241"/>
      <c r="E133" s="244"/>
      <c r="F133" s="244"/>
      <c r="G133" s="244"/>
      <c r="H133" s="244"/>
      <c r="I133" s="244"/>
      <c r="J133" s="244"/>
      <c r="K133" s="244"/>
      <c r="L133" s="244"/>
      <c r="M133" s="244"/>
    </row>
    <row r="134" spans="2:15">
      <c r="B134" s="306"/>
      <c r="C134" s="246"/>
      <c r="D134" s="241"/>
      <c r="E134" s="244"/>
      <c r="F134" s="258" t="str">
        <f>F54</f>
        <v xml:space="preserve">AEP East Companies </v>
      </c>
      <c r="G134" s="258"/>
      <c r="H134" s="244"/>
      <c r="I134" s="244"/>
      <c r="J134" s="244"/>
      <c r="K134" s="244"/>
      <c r="L134" s="244"/>
      <c r="M134" s="307"/>
    </row>
    <row r="135" spans="2:15">
      <c r="B135" s="306"/>
      <c r="C135" s="246"/>
      <c r="D135" s="241"/>
      <c r="E135" s="244"/>
      <c r="F135" s="258" t="str">
        <f>F55</f>
        <v>Transmission Cost of Service Formula Rate</v>
      </c>
      <c r="G135" s="258"/>
      <c r="H135" s="244"/>
      <c r="I135" s="244"/>
      <c r="J135" s="244"/>
      <c r="K135" s="244"/>
      <c r="L135" s="244"/>
      <c r="M135" s="307"/>
    </row>
    <row r="136" spans="2:15">
      <c r="B136" s="306"/>
      <c r="C136" s="246"/>
      <c r="E136" s="244"/>
      <c r="F136" s="258" t="str">
        <f>F56</f>
        <v>Utilizing  Actual/Projected FERC Form 1 Data</v>
      </c>
      <c r="G136" s="244"/>
      <c r="H136" s="244"/>
      <c r="I136" s="244"/>
      <c r="J136" s="244"/>
      <c r="K136" s="244"/>
      <c r="L136" s="244"/>
      <c r="M136" s="276"/>
    </row>
    <row r="137" spans="2:15">
      <c r="B137" s="306"/>
      <c r="C137" s="246"/>
      <c r="E137" s="244"/>
      <c r="F137" s="258"/>
      <c r="G137" s="244"/>
      <c r="H137" s="244"/>
      <c r="I137" s="244"/>
      <c r="J137" s="244"/>
      <c r="K137" s="244"/>
      <c r="L137" s="244"/>
      <c r="M137" s="244"/>
    </row>
    <row r="138" spans="2:15">
      <c r="B138" s="306"/>
      <c r="C138" s="246"/>
      <c r="E138" s="308"/>
      <c r="F138" s="258" t="str">
        <f>F58</f>
        <v>WHEELING POWER COMPANY</v>
      </c>
      <c r="G138" s="308"/>
      <c r="H138" s="308"/>
      <c r="I138" s="308"/>
      <c r="J138" s="308"/>
      <c r="K138" s="308"/>
      <c r="M138" s="244"/>
    </row>
    <row r="139" spans="2:15">
      <c r="B139" s="306"/>
      <c r="C139" s="246"/>
      <c r="E139" s="308"/>
      <c r="F139" s="258"/>
      <c r="G139" s="308"/>
      <c r="H139" s="308"/>
      <c r="I139" s="308"/>
      <c r="J139" s="308"/>
      <c r="K139" s="308"/>
      <c r="M139" s="244"/>
    </row>
    <row r="140" spans="2:15">
      <c r="B140" s="306"/>
      <c r="D140" s="246" t="s">
        <v>121</v>
      </c>
      <c r="E140" s="246" t="s">
        <v>122</v>
      </c>
      <c r="F140" s="246"/>
      <c r="G140" s="246" t="s">
        <v>123</v>
      </c>
      <c r="H140" s="244"/>
      <c r="I140" s="1242" t="s">
        <v>124</v>
      </c>
      <c r="J140" s="1246"/>
      <c r="K140" s="244"/>
      <c r="L140" s="247" t="s">
        <v>125</v>
      </c>
      <c r="M140" s="244"/>
      <c r="N140" s="247"/>
    </row>
    <row r="141" spans="2:15" ht="15.75">
      <c r="B141" s="306"/>
      <c r="D141" s="246"/>
      <c r="E141" s="246"/>
      <c r="F141" s="246"/>
      <c r="G141" s="246"/>
      <c r="H141" s="244"/>
      <c r="I141" s="244"/>
      <c r="J141" s="278"/>
      <c r="K141" s="244"/>
      <c r="M141" s="244"/>
      <c r="N141" s="309"/>
      <c r="O141" s="240"/>
    </row>
    <row r="142" spans="2:15" ht="15.75">
      <c r="B142" s="306"/>
      <c r="C142" s="246"/>
      <c r="D142" s="309" t="s">
        <v>101</v>
      </c>
      <c r="E142" s="280" t="str">
        <f>E62</f>
        <v>Data Sources</v>
      </c>
      <c r="F142" s="281"/>
      <c r="G142" s="244"/>
      <c r="H142" s="244"/>
      <c r="I142" s="244"/>
      <c r="J142" s="246"/>
      <c r="K142" s="244"/>
      <c r="L142" s="280" t="str">
        <f>L62</f>
        <v>Total</v>
      </c>
      <c r="N142" s="309"/>
      <c r="O142" s="240"/>
    </row>
    <row r="143" spans="2:15" ht="15.75">
      <c r="B143" s="306"/>
      <c r="C143" s="246"/>
      <c r="D143" s="283" t="s">
        <v>102</v>
      </c>
      <c r="E143" s="310" t="str">
        <f>E63</f>
        <v>(See "General Notes")</v>
      </c>
      <c r="F143" s="244"/>
      <c r="G143" s="310" t="str">
        <f>G63</f>
        <v>TO Total</v>
      </c>
      <c r="H143" s="285"/>
      <c r="I143" s="1244" t="str">
        <f>I63</f>
        <v>Allocator</v>
      </c>
      <c r="J143" s="1245"/>
      <c r="K143" s="285"/>
      <c r="L143" s="310" t="str">
        <f>L63</f>
        <v>Transmission</v>
      </c>
      <c r="M143" s="244"/>
      <c r="N143" s="309"/>
      <c r="O143" s="240"/>
    </row>
    <row r="144" spans="2:15" ht="15.75">
      <c r="B144" s="245" t="str">
        <f>B64</f>
        <v>Line</v>
      </c>
      <c r="D144" s="241"/>
      <c r="E144" s="244"/>
      <c r="F144" s="244"/>
      <c r="G144" s="283"/>
      <c r="H144" s="311"/>
      <c r="I144" s="309"/>
      <c r="K144" s="311"/>
      <c r="L144" s="283"/>
      <c r="M144" s="244"/>
    </row>
    <row r="145" spans="2:15">
      <c r="B145" s="245" t="str">
        <f>B65</f>
        <v>No.</v>
      </c>
      <c r="C145" s="246"/>
      <c r="D145" s="241" t="s">
        <v>103</v>
      </c>
      <c r="E145" s="244"/>
      <c r="F145" s="244"/>
      <c r="G145" s="244"/>
      <c r="H145" s="244"/>
      <c r="I145" s="258"/>
      <c r="J145" s="244"/>
      <c r="K145" s="244"/>
      <c r="L145" s="244"/>
      <c r="M145" s="244"/>
    </row>
    <row r="146" spans="2:15">
      <c r="B146" s="245">
        <f>+B131+1</f>
        <v>69</v>
      </c>
      <c r="C146" s="246"/>
      <c r="D146" s="241" t="s">
        <v>126</v>
      </c>
      <c r="E146" s="244" t="s">
        <v>10</v>
      </c>
      <c r="F146" s="244"/>
      <c r="G146" s="598">
        <v>314036974.30943698</v>
      </c>
      <c r="H146" s="244"/>
      <c r="I146" s="258"/>
      <c r="J146" s="259"/>
      <c r="K146" s="244"/>
      <c r="L146" s="257"/>
      <c r="M146" s="244"/>
    </row>
    <row r="147" spans="2:15">
      <c r="B147" s="245">
        <f>+B146+1</f>
        <v>70</v>
      </c>
      <c r="C147" s="246"/>
      <c r="D147" s="241" t="s">
        <v>130</v>
      </c>
      <c r="E147" s="244" t="s">
        <v>11</v>
      </c>
      <c r="F147" s="244"/>
      <c r="G147" s="598">
        <v>13943113.392590417</v>
      </c>
      <c r="H147" s="244"/>
      <c r="I147" s="258"/>
      <c r="J147" s="259"/>
      <c r="K147" s="244"/>
      <c r="L147" s="257"/>
      <c r="M147" s="244"/>
    </row>
    <row r="148" spans="2:15">
      <c r="B148" s="245">
        <f t="shared" ref="B148:B153" si="6">+B147+1</f>
        <v>71</v>
      </c>
      <c r="C148" s="246"/>
      <c r="D148" s="241" t="s">
        <v>246</v>
      </c>
      <c r="E148" s="244" t="s">
        <v>202</v>
      </c>
      <c r="F148" s="244"/>
      <c r="G148" s="598">
        <v>2766909.0195718426</v>
      </c>
      <c r="H148" s="244"/>
      <c r="I148" s="258"/>
      <c r="J148" s="259"/>
      <c r="K148" s="244"/>
      <c r="L148" s="257"/>
      <c r="M148" s="244"/>
    </row>
    <row r="149" spans="2:15">
      <c r="B149" s="245">
        <f t="shared" si="6"/>
        <v>72</v>
      </c>
      <c r="C149" s="246"/>
      <c r="D149" s="241" t="s">
        <v>247</v>
      </c>
      <c r="E149" s="244" t="s">
        <v>417</v>
      </c>
      <c r="F149" s="244"/>
      <c r="G149" s="598">
        <v>885885.40332086443</v>
      </c>
      <c r="H149" s="244"/>
      <c r="I149" s="258"/>
      <c r="J149" s="259"/>
      <c r="K149" s="244"/>
      <c r="L149" s="257"/>
      <c r="M149" s="244"/>
    </row>
    <row r="150" spans="2:15" ht="15.75" thickBot="1">
      <c r="B150" s="245">
        <f t="shared" si="6"/>
        <v>73</v>
      </c>
      <c r="C150" s="246"/>
      <c r="D150" s="241" t="s">
        <v>135</v>
      </c>
      <c r="E150" s="244" t="s">
        <v>416</v>
      </c>
      <c r="F150" s="244"/>
      <c r="G150" s="599">
        <v>97684048.115935445</v>
      </c>
      <c r="H150" s="257"/>
      <c r="I150" s="67"/>
      <c r="J150" s="67"/>
      <c r="K150"/>
      <c r="L150"/>
      <c r="M150" s="241"/>
      <c r="N150" s="244"/>
      <c r="O150" s="244"/>
    </row>
    <row r="151" spans="2:15">
      <c r="B151" s="245">
        <f t="shared" si="6"/>
        <v>74</v>
      </c>
      <c r="C151" s="246"/>
      <c r="D151" s="241" t="s">
        <v>248</v>
      </c>
      <c r="E151" s="244" t="str">
        <f>"(sum lns "&amp;B146&amp;"  to "&amp;B150&amp;")"</f>
        <v>(sum lns 69  to 73)</v>
      </c>
      <c r="F151" s="244"/>
      <c r="G151" s="257">
        <f>SUM(G146:G150)</f>
        <v>429316930.24085552</v>
      </c>
      <c r="H151" s="257"/>
      <c r="I151" s="67"/>
      <c r="J151" s="67"/>
      <c r="K151"/>
      <c r="L151"/>
      <c r="M151" s="241"/>
      <c r="N151" s="244"/>
      <c r="O151" s="244"/>
    </row>
    <row r="152" spans="2:15">
      <c r="B152" s="245">
        <f t="shared" si="6"/>
        <v>75</v>
      </c>
      <c r="C152" s="246"/>
      <c r="D152" s="241" t="s">
        <v>328</v>
      </c>
      <c r="E152" s="244" t="str">
        <f>"(Note G) (Worksheet F, ln "&amp;'WS F Misc Exp'!A33&amp;".C)"</f>
        <v>(Note G) (Worksheet F, ln 14.C)</v>
      </c>
      <c r="F152" s="244"/>
      <c r="G152" s="257">
        <f>'WS F Misc Exp'!D33</f>
        <v>1545655.7445670448</v>
      </c>
      <c r="H152" s="257"/>
      <c r="I152" s="67"/>
      <c r="J152" s="67"/>
      <c r="K152"/>
      <c r="L152"/>
      <c r="M152" s="241"/>
      <c r="N152" s="244"/>
      <c r="O152" s="244"/>
    </row>
    <row r="153" spans="2:15">
      <c r="B153" s="245">
        <f t="shared" si="6"/>
        <v>76</v>
      </c>
      <c r="C153" s="246"/>
      <c r="D153" s="241" t="s">
        <v>23</v>
      </c>
      <c r="E153" s="244" t="s">
        <v>100</v>
      </c>
      <c r="F153" s="244"/>
      <c r="G153" s="598">
        <v>94884415.656799987</v>
      </c>
      <c r="H153" s="257"/>
      <c r="I153" s="67"/>
      <c r="J153" s="67"/>
      <c r="K153"/>
      <c r="L153"/>
      <c r="M153" s="241"/>
      <c r="N153" s="244"/>
      <c r="O153" s="244"/>
    </row>
    <row r="154" spans="2:15" ht="15.75" thickBot="1">
      <c r="B154" s="245">
        <f>+B153+1</f>
        <v>77</v>
      </c>
      <c r="C154" s="246"/>
      <c r="D154" s="241" t="s">
        <v>332</v>
      </c>
      <c r="E154" s="244" t="s">
        <v>480</v>
      </c>
      <c r="F154" s="244"/>
      <c r="G154" s="291">
        <f>+'WS F Misc Exp'!D21</f>
        <v>0</v>
      </c>
      <c r="H154" s="257"/>
      <c r="I154" s="67"/>
      <c r="J154" s="67"/>
      <c r="K154"/>
      <c r="L154"/>
      <c r="M154" s="241"/>
      <c r="N154" s="244"/>
      <c r="O154" s="244"/>
    </row>
    <row r="155" spans="2:15">
      <c r="B155" s="245">
        <f>+B154+1</f>
        <v>78</v>
      </c>
      <c r="C155" s="246"/>
      <c r="D155" s="241" t="s">
        <v>384</v>
      </c>
      <c r="E155" s="244" t="str">
        <f>"(lns "&amp;B150&amp;" - "&amp;B152&amp;" - "&amp;B153&amp;" - "&amp;B154&amp;")"</f>
        <v>(lns 73 - 75 - 76 - 77)</v>
      </c>
      <c r="F155" s="241"/>
      <c r="G155" s="257">
        <f>G150-G152-G153-G154</f>
        <v>1253976.7145684063</v>
      </c>
      <c r="H155" s="244"/>
      <c r="I155" s="258" t="s">
        <v>120</v>
      </c>
      <c r="J155" s="259">
        <f>L239</f>
        <v>0.93747347767234712</v>
      </c>
      <c r="K155" s="244"/>
      <c r="L155" s="257">
        <f>+J155*G155</f>
        <v>1175569.911526588</v>
      </c>
      <c r="M155" s="241"/>
      <c r="N155" s="244"/>
      <c r="O155" s="244"/>
    </row>
    <row r="156" spans="2:15">
      <c r="B156" s="245"/>
      <c r="C156" s="246"/>
      <c r="D156" s="241"/>
      <c r="E156" s="244"/>
      <c r="F156" s="244"/>
      <c r="G156" s="67"/>
      <c r="H156" s="257"/>
      <c r="I156" s="67"/>
      <c r="J156" s="67"/>
      <c r="K156"/>
      <c r="L156"/>
      <c r="M156" s="241"/>
      <c r="N156" s="244"/>
      <c r="O156" s="244"/>
    </row>
    <row r="157" spans="2:15">
      <c r="B157" s="245">
        <f>+B155+1</f>
        <v>79</v>
      </c>
      <c r="C157" s="246"/>
      <c r="D157" s="241" t="s">
        <v>104</v>
      </c>
      <c r="E157" s="244" t="s">
        <v>740</v>
      </c>
      <c r="F157" s="244"/>
      <c r="G157" s="598">
        <v>10489886.391058639</v>
      </c>
      <c r="H157" s="257"/>
      <c r="I157" s="299"/>
      <c r="J157" s="299"/>
      <c r="K157" s="244"/>
      <c r="L157" s="257"/>
      <c r="M157" s="244"/>
      <c r="N157" s="244"/>
      <c r="O157" s="244"/>
    </row>
    <row r="158" spans="2:15">
      <c r="B158" s="245">
        <f t="shared" ref="B158:B172" si="7">+B157+1</f>
        <v>80</v>
      </c>
      <c r="C158" s="246"/>
      <c r="D158" s="241" t="s">
        <v>330</v>
      </c>
      <c r="E158" s="244" t="s">
        <v>418</v>
      </c>
      <c r="F158" s="244"/>
      <c r="G158" s="598">
        <v>578281.91145273717</v>
      </c>
      <c r="H158" s="257"/>
      <c r="I158" s="299"/>
      <c r="J158" s="241"/>
      <c r="K158" s="244"/>
      <c r="L158" s="257"/>
      <c r="M158"/>
      <c r="N158" s="244"/>
      <c r="O158" s="244"/>
    </row>
    <row r="159" spans="2:15">
      <c r="B159" s="245">
        <f t="shared" si="7"/>
        <v>81</v>
      </c>
      <c r="C159" s="246"/>
      <c r="D159" s="899" t="s">
        <v>846</v>
      </c>
      <c r="E159" s="244" t="str">
        <f>"PBOP Worksheet O Line "&amp;'WS O - PBOP'!A37&amp;" &amp; "&amp;'WS O - PBOP'!A39&amp;", (Note K)"</f>
        <v>PBOP Worksheet O Line 9 &amp; 10, (Note K)</v>
      </c>
      <c r="F159" s="244"/>
      <c r="G159" s="900">
        <f>'WS O - PBOP'!J37+'WS O - PBOP'!J39</f>
        <v>-391230.44000000041</v>
      </c>
      <c r="H159" s="257"/>
      <c r="I159" s="299"/>
      <c r="J159" s="241"/>
      <c r="K159" s="244"/>
      <c r="L159" s="257"/>
      <c r="M159"/>
      <c r="N159" s="244"/>
      <c r="O159" s="244"/>
    </row>
    <row r="160" spans="2:15">
      <c r="B160" s="245">
        <f t="shared" si="7"/>
        <v>82</v>
      </c>
      <c r="C160" s="246"/>
      <c r="D160" s="241" t="s">
        <v>847</v>
      </c>
      <c r="E160" s="244" t="str">
        <f>"PBOP Worksheet O  Line "&amp;'WS O - PBOP'!A41&amp;", (Note K)"</f>
        <v>PBOP Worksheet O  Line 11, (Note K)</v>
      </c>
      <c r="F160" s="244"/>
      <c r="G160" s="900">
        <f>'WS O - PBOP'!J41</f>
        <v>0</v>
      </c>
      <c r="H160" s="257"/>
      <c r="I160" s="299"/>
      <c r="J160" s="241"/>
      <c r="K160" s="244"/>
      <c r="L160" s="257"/>
      <c r="M160"/>
      <c r="N160" s="244"/>
      <c r="O160" s="244"/>
    </row>
    <row r="161" spans="2:15">
      <c r="B161" s="245">
        <f t="shared" si="7"/>
        <v>83</v>
      </c>
      <c r="C161" s="246"/>
      <c r="D161" s="241" t="s">
        <v>848</v>
      </c>
      <c r="E161" s="244" t="str">
        <f>"PBOP Worksheet O Line "&amp;'WS O - PBOP'!A45&amp;", (Note K)"</f>
        <v>PBOP Worksheet O Line 13, (Note K)</v>
      </c>
      <c r="F161" s="244"/>
      <c r="G161" s="900">
        <f>'WS O - PBOP'!J45</f>
        <v>-393788.22786717844</v>
      </c>
      <c r="H161" s="257"/>
      <c r="I161" s="299"/>
      <c r="J161" s="241"/>
      <c r="K161" s="244"/>
      <c r="L161" s="257"/>
      <c r="M161"/>
      <c r="N161" s="244"/>
      <c r="O161" s="244"/>
    </row>
    <row r="162" spans="2:15">
      <c r="B162" s="245">
        <f t="shared" si="7"/>
        <v>84</v>
      </c>
      <c r="C162" s="246"/>
      <c r="D162" s="241" t="s">
        <v>329</v>
      </c>
      <c r="E162" s="244" t="s">
        <v>96</v>
      </c>
      <c r="F162" s="244"/>
      <c r="G162" s="598">
        <f>'WS F Misc Exp'!D41</f>
        <v>1764552.7934286313</v>
      </c>
      <c r="H162" s="257"/>
      <c r="I162" s="299"/>
      <c r="J162" s="312"/>
      <c r="K162" s="244"/>
      <c r="L162" s="257"/>
      <c r="M162" s="244"/>
      <c r="N162" s="244"/>
      <c r="O162" s="244"/>
    </row>
    <row r="163" spans="2:15">
      <c r="B163" s="245">
        <f t="shared" si="7"/>
        <v>85</v>
      </c>
      <c r="C163" s="246"/>
      <c r="D163" s="241" t="s">
        <v>107</v>
      </c>
      <c r="E163" s="244" t="s">
        <v>97</v>
      </c>
      <c r="F163" s="244"/>
      <c r="G163" s="598">
        <f>'WS F Misc Exp'!D61</f>
        <v>0</v>
      </c>
      <c r="H163" s="257"/>
      <c r="I163" s="299"/>
      <c r="J163" s="299"/>
      <c r="K163" s="244"/>
      <c r="L163" s="257"/>
      <c r="M163" s="244"/>
      <c r="N163" s="244"/>
      <c r="O163" s="244"/>
    </row>
    <row r="164" spans="2:15" ht="15.75" thickBot="1">
      <c r="B164" s="245">
        <f t="shared" si="7"/>
        <v>86</v>
      </c>
      <c r="C164" s="246"/>
      <c r="D164" s="241" t="s">
        <v>331</v>
      </c>
      <c r="E164" s="244" t="s">
        <v>98</v>
      </c>
      <c r="F164" s="244"/>
      <c r="G164" s="599">
        <f>'WS F Misc Exp'!D69</f>
        <v>134352.05081877735</v>
      </c>
      <c r="H164" s="257"/>
      <c r="I164" s="299"/>
      <c r="J164" s="299"/>
      <c r="K164" s="244"/>
      <c r="L164" s="257"/>
      <c r="M164" s="244"/>
      <c r="N164" s="244"/>
      <c r="O164" s="244"/>
    </row>
    <row r="165" spans="2:15">
      <c r="B165" s="245">
        <f t="shared" si="7"/>
        <v>87</v>
      </c>
      <c r="C165" s="246"/>
      <c r="D165" s="241" t="s">
        <v>108</v>
      </c>
      <c r="E165" s="244" t="str">
        <f>"(ln "&amp;B157&amp;" - sum ln "&amp;B158&amp;"  to ln "&amp;B164&amp;")"</f>
        <v>(ln 79 - sum ln 80  to ln 86)</v>
      </c>
      <c r="F165" s="244"/>
      <c r="G165" s="257">
        <f>G157-SUM(G158:G164)</f>
        <v>8797718.3032256719</v>
      </c>
      <c r="H165" s="257"/>
      <c r="I165" s="258" t="s">
        <v>132</v>
      </c>
      <c r="J165" s="259">
        <f>L257</f>
        <v>2.6878189917220376E-2</v>
      </c>
      <c r="K165" s="244"/>
      <c r="L165" s="257">
        <f>+J165*G165</f>
        <v>236466.74339230542</v>
      </c>
      <c r="M165" s="244"/>
      <c r="N165" s="244"/>
      <c r="O165" s="244"/>
    </row>
    <row r="166" spans="2:15">
      <c r="B166" s="245"/>
      <c r="C166" s="246"/>
      <c r="D166" s="241"/>
      <c r="E166" s="244"/>
      <c r="F166" s="244"/>
      <c r="G166" s="1217"/>
      <c r="H166" s="257"/>
      <c r="I166" s="258"/>
      <c r="J166" s="259"/>
      <c r="K166" s="244"/>
      <c r="L166" s="257"/>
      <c r="M166" s="244"/>
      <c r="N166" s="244"/>
      <c r="O166" s="244"/>
    </row>
    <row r="167" spans="2:15">
      <c r="B167" s="245">
        <f>+B165+1</f>
        <v>88</v>
      </c>
      <c r="C167" s="246"/>
      <c r="D167" s="241" t="s">
        <v>197</v>
      </c>
      <c r="E167" s="244" t="str">
        <f>"(ln "&amp;B158&amp;")"</f>
        <v>(ln 80)</v>
      </c>
      <c r="F167" s="244"/>
      <c r="G167" s="257">
        <f>+G158</f>
        <v>578281.91145273717</v>
      </c>
      <c r="H167" s="257"/>
      <c r="I167" s="258" t="s">
        <v>749</v>
      </c>
      <c r="J167" s="259">
        <f>J77</f>
        <v>0.17819459751376732</v>
      </c>
      <c r="K167" s="244"/>
      <c r="L167" s="257">
        <f>+J167*G167</f>
        <v>103046.71246081253</v>
      </c>
      <c r="M167" s="244"/>
      <c r="N167" s="244"/>
      <c r="O167" s="244"/>
    </row>
    <row r="168" spans="2:15">
      <c r="B168" s="245">
        <f t="shared" si="7"/>
        <v>89</v>
      </c>
      <c r="C168" s="246"/>
      <c r="D168" s="241" t="s">
        <v>230</v>
      </c>
      <c r="E168" s="244" t="str">
        <f>"Worksheet F ln "&amp;'WS F Misc Exp'!A41&amp;".(E) (Note L)"</f>
        <v>Worksheet F ln 20.(E) (Note L)</v>
      </c>
      <c r="F168" s="244"/>
      <c r="G168" s="257">
        <f>+'WS F Misc Exp'!F41</f>
        <v>10190.754047973101</v>
      </c>
      <c r="H168" s="257"/>
      <c r="I168" s="258" t="s">
        <v>120</v>
      </c>
      <c r="J168" s="259">
        <f>L239</f>
        <v>0.93747347767234712</v>
      </c>
      <c r="K168" s="244"/>
      <c r="L168" s="257">
        <f>J168*G168</f>
        <v>9553.5616374568926</v>
      </c>
      <c r="M168" s="244"/>
      <c r="N168" s="244"/>
      <c r="O168" s="244"/>
    </row>
    <row r="169" spans="2:15">
      <c r="B169" s="245">
        <f t="shared" si="7"/>
        <v>90</v>
      </c>
      <c r="C169" s="246"/>
      <c r="D169" s="241" t="s">
        <v>240</v>
      </c>
      <c r="E169" s="244" t="str">
        <f>"Worksheet F ln "&amp;'WS F Misc Exp'!A61&amp;".(E) (Note L)"</f>
        <v>Worksheet F ln 37.(E) (Note L)</v>
      </c>
      <c r="F169" s="244"/>
      <c r="G169" s="257">
        <f>+'WS F Misc Exp'!F61</f>
        <v>0</v>
      </c>
      <c r="H169" s="244"/>
      <c r="I169" s="258" t="s">
        <v>120</v>
      </c>
      <c r="J169" s="259">
        <f>L239</f>
        <v>0.93747347767234712</v>
      </c>
      <c r="K169" s="244"/>
      <c r="L169" s="257">
        <f>+J169*G169</f>
        <v>0</v>
      </c>
      <c r="M169" s="244"/>
      <c r="N169" s="244"/>
      <c r="O169" s="244"/>
    </row>
    <row r="170" spans="2:15">
      <c r="B170" s="245">
        <f t="shared" si="7"/>
        <v>91</v>
      </c>
      <c r="C170" s="246"/>
      <c r="D170" s="241" t="s">
        <v>241</v>
      </c>
      <c r="E170" s="244" t="str">
        <f>"Worksheet F ln "&amp;'WS F Misc Exp'!A69&amp;".(E) (Note L)"</f>
        <v>Worksheet F ln 42.(E) (Note L)</v>
      </c>
      <c r="F170" s="244"/>
      <c r="G170" s="257">
        <f>+'WS F Misc Exp'!F69</f>
        <v>22739.710480436355</v>
      </c>
      <c r="H170" s="313"/>
      <c r="I170" s="258" t="s">
        <v>129</v>
      </c>
      <c r="J170" s="259">
        <v>1</v>
      </c>
      <c r="K170" s="244"/>
      <c r="L170" s="257">
        <f>+J170*G170</f>
        <v>22739.710480436355</v>
      </c>
      <c r="M170" s="244"/>
      <c r="N170" s="244"/>
      <c r="O170" s="244"/>
    </row>
    <row r="171" spans="2:15">
      <c r="B171" s="245">
        <f t="shared" si="7"/>
        <v>92</v>
      </c>
      <c r="C171" s="246"/>
      <c r="D171" s="241" t="s">
        <v>849</v>
      </c>
      <c r="E171" s="244" t="s">
        <v>851</v>
      </c>
      <c r="F171" s="244"/>
      <c r="G171" s="334">
        <f>'WS O - PBOP'!E27</f>
        <v>-4254659</v>
      </c>
      <c r="H171" s="313"/>
      <c r="I171" s="258" t="s">
        <v>132</v>
      </c>
      <c r="J171" s="259">
        <f>L257</f>
        <v>2.6878189917220376E-2</v>
      </c>
      <c r="K171" s="244"/>
      <c r="L171" s="334">
        <f>+J171*G171</f>
        <v>-114357.53263501092</v>
      </c>
      <c r="M171" s="244"/>
      <c r="N171" s="244"/>
      <c r="O171" s="244"/>
    </row>
    <row r="172" spans="2:15">
      <c r="B172" s="245">
        <f t="shared" si="7"/>
        <v>93</v>
      </c>
      <c r="C172" s="246"/>
      <c r="D172" s="241" t="s">
        <v>109</v>
      </c>
      <c r="E172" s="244" t="str">
        <f>"(sum lns "&amp;B165&amp;"  to "&amp;B171&amp;")"</f>
        <v>(sum lns 87  to 92)</v>
      </c>
      <c r="F172" s="244"/>
      <c r="G172" s="257">
        <f>SUM(G165:G171)</f>
        <v>5154271.6792068183</v>
      </c>
      <c r="H172" s="257"/>
      <c r="I172" s="258"/>
      <c r="J172" s="299"/>
      <c r="K172" s="244"/>
      <c r="L172" s="257">
        <f>SUM(L165:L171)</f>
        <v>257449.19533600027</v>
      </c>
      <c r="M172" s="244"/>
      <c r="N172" s="257"/>
      <c r="O172" s="244"/>
    </row>
    <row r="173" spans="2:15" ht="15.75" thickBot="1">
      <c r="B173" s="245"/>
      <c r="C173" s="246"/>
      <c r="D173" s="241"/>
      <c r="E173" s="244"/>
      <c r="F173" s="244"/>
      <c r="G173" s="291"/>
      <c r="H173" s="244"/>
      <c r="I173" s="258"/>
      <c r="J173" s="299"/>
      <c r="K173" s="244"/>
      <c r="L173" s="291"/>
      <c r="M173" s="244"/>
      <c r="N173" s="244"/>
      <c r="O173" s="244"/>
    </row>
    <row r="174" spans="2:15">
      <c r="B174" s="245">
        <f>+B172+1</f>
        <v>94</v>
      </c>
      <c r="C174" s="246"/>
      <c r="D174" s="241" t="s">
        <v>414</v>
      </c>
      <c r="E174" s="244" t="str">
        <f>"(ln "&amp;B155&amp;" + ln "&amp;B172&amp;")"</f>
        <v>(ln 78 + ln 93)</v>
      </c>
      <c r="F174" s="244"/>
      <c r="G174" s="257">
        <f>+G155+G172</f>
        <v>6408248.3937752247</v>
      </c>
      <c r="H174" s="257"/>
      <c r="I174" s="258"/>
      <c r="J174" s="244"/>
      <c r="K174" s="244"/>
      <c r="L174" s="257">
        <f>L155+L172</f>
        <v>1433019.1068625883</v>
      </c>
      <c r="M174" s="244"/>
      <c r="N174" s="244"/>
      <c r="O174" s="244"/>
    </row>
    <row r="175" spans="2:15" ht="15.75" thickBot="1">
      <c r="B175" s="245">
        <f>+B174+1</f>
        <v>95</v>
      </c>
      <c r="C175" s="246"/>
      <c r="D175" s="241" t="s">
        <v>486</v>
      </c>
      <c r="E175" s="241"/>
      <c r="F175" s="244"/>
      <c r="G175" s="1218">
        <v>0</v>
      </c>
      <c r="H175" s="257"/>
      <c r="I175" s="258" t="s">
        <v>129</v>
      </c>
      <c r="J175" s="259">
        <v>1</v>
      </c>
      <c r="K175" s="244"/>
      <c r="L175" s="291">
        <f>J175*G175</f>
        <v>0</v>
      </c>
      <c r="M175" s="244"/>
      <c r="N175" s="244"/>
      <c r="O175" s="244"/>
    </row>
    <row r="176" spans="2:15">
      <c r="B176" s="245">
        <f>+B175+1</f>
        <v>96</v>
      </c>
      <c r="C176" s="246"/>
      <c r="D176" s="241" t="s">
        <v>110</v>
      </c>
      <c r="E176" s="244" t="str">
        <f>"(ln "&amp;B174&amp;" + ln "&amp;B175&amp;")"</f>
        <v>(ln 94 + ln 95)</v>
      </c>
      <c r="F176" s="244"/>
      <c r="G176" s="257">
        <f>+G174+G175</f>
        <v>6408248.3937752247</v>
      </c>
      <c r="H176" s="257"/>
      <c r="I176" s="258"/>
      <c r="J176" s="244"/>
      <c r="K176" s="244"/>
      <c r="L176" s="257">
        <f>+L174+L175</f>
        <v>1433019.1068625883</v>
      </c>
      <c r="M176" s="244"/>
      <c r="N176" s="244"/>
      <c r="O176" s="244"/>
    </row>
    <row r="177" spans="2:15">
      <c r="B177" s="245"/>
      <c r="C177" s="246"/>
      <c r="D177" s="241"/>
      <c r="E177" s="244"/>
      <c r="F177" s="244"/>
      <c r="G177" s="257"/>
      <c r="H177" s="244"/>
      <c r="I177" s="244"/>
      <c r="J177" s="244"/>
      <c r="K177" s="244"/>
      <c r="L177" s="257"/>
      <c r="M177" s="244"/>
      <c r="N177" s="244"/>
      <c r="O177" s="244"/>
    </row>
    <row r="178" spans="2:15">
      <c r="B178" s="245">
        <f>+B176+1</f>
        <v>97</v>
      </c>
      <c r="C178" s="246"/>
      <c r="D178" s="241" t="s">
        <v>113</v>
      </c>
      <c r="E178" s="258"/>
      <c r="F178" s="258"/>
      <c r="G178" s="257"/>
      <c r="H178" s="244"/>
      <c r="I178" s="258"/>
      <c r="J178" s="244"/>
      <c r="K178" s="244"/>
      <c r="L178" s="257"/>
      <c r="M178" s="244"/>
      <c r="N178" s="244"/>
      <c r="O178" s="244"/>
    </row>
    <row r="179" spans="2:15">
      <c r="B179" s="245">
        <f t="shared" ref="B179:B183" si="8">+B178+1</f>
        <v>98</v>
      </c>
      <c r="C179" s="246"/>
      <c r="D179" s="241" t="s">
        <v>126</v>
      </c>
      <c r="E179" s="255" t="s">
        <v>424</v>
      </c>
      <c r="F179" s="258"/>
      <c r="G179" s="598">
        <v>2377395.4544280618</v>
      </c>
      <c r="H179" s="244"/>
      <c r="I179" s="258" t="s">
        <v>127</v>
      </c>
      <c r="J179" s="259">
        <v>0</v>
      </c>
      <c r="K179" s="244"/>
      <c r="L179" s="257">
        <f>+G179*J179</f>
        <v>0</v>
      </c>
      <c r="M179" s="244"/>
      <c r="N179" s="244"/>
      <c r="O179" s="244"/>
    </row>
    <row r="180" spans="2:15">
      <c r="B180" s="245">
        <f t="shared" si="8"/>
        <v>99</v>
      </c>
      <c r="C180" s="246"/>
      <c r="D180" s="241" t="s">
        <v>130</v>
      </c>
      <c r="E180" s="255" t="s">
        <v>423</v>
      </c>
      <c r="F180" s="258"/>
      <c r="G180" s="598">
        <v>13606483.350024993</v>
      </c>
      <c r="H180" s="244"/>
      <c r="I180" s="258" t="s">
        <v>127</v>
      </c>
      <c r="J180" s="259">
        <v>0</v>
      </c>
      <c r="K180" s="244"/>
      <c r="L180" s="257">
        <f>+G180*J180</f>
        <v>0</v>
      </c>
      <c r="M180" s="244"/>
      <c r="N180" s="244"/>
      <c r="O180" s="244"/>
    </row>
    <row r="181" spans="2:15">
      <c r="B181" s="245">
        <f t="shared" si="8"/>
        <v>100</v>
      </c>
      <c r="C181" s="246"/>
      <c r="D181" s="287" t="str">
        <f>+D150</f>
        <v xml:space="preserve">  Transmission </v>
      </c>
      <c r="E181" s="255" t="s">
        <v>419</v>
      </c>
      <c r="F181" s="288"/>
      <c r="G181" s="598">
        <v>4153618.7612989894</v>
      </c>
      <c r="H181" s="1208"/>
      <c r="I181" s="314" t="s">
        <v>26</v>
      </c>
      <c r="J181" s="259">
        <f>J82</f>
        <v>0.84867762869744334</v>
      </c>
      <c r="K181" s="289"/>
      <c r="L181" s="290">
        <f>J181*G181</f>
        <v>3525083.3208524385</v>
      </c>
      <c r="M181" s="289"/>
      <c r="N181" s="244"/>
      <c r="O181" s="244"/>
    </row>
    <row r="182" spans="2:15">
      <c r="B182" s="245">
        <f>+B181+1</f>
        <v>101</v>
      </c>
      <c r="C182" s="246"/>
      <c r="D182" s="241" t="s">
        <v>136</v>
      </c>
      <c r="E182" s="288" t="s">
        <v>420</v>
      </c>
      <c r="F182" s="244"/>
      <c r="G182" s="598">
        <v>3219587.7052198346</v>
      </c>
      <c r="H182" s="257"/>
      <c r="I182" s="258" t="s">
        <v>132</v>
      </c>
      <c r="J182" s="259">
        <f>L257</f>
        <v>2.6878189917220376E-2</v>
      </c>
      <c r="K182" s="244"/>
      <c r="L182" s="257">
        <f>+J182*G182</f>
        <v>86536.689796046441</v>
      </c>
      <c r="M182" s="244"/>
      <c r="N182" s="244"/>
      <c r="O182" s="244"/>
    </row>
    <row r="183" spans="2:15">
      <c r="B183" s="245">
        <f t="shared" si="8"/>
        <v>102</v>
      </c>
      <c r="C183" s="246"/>
      <c r="D183" s="241" t="s">
        <v>137</v>
      </c>
      <c r="E183" s="288" t="s">
        <v>421</v>
      </c>
      <c r="F183" s="244"/>
      <c r="G183" s="598">
        <v>0</v>
      </c>
      <c r="H183" s="257"/>
      <c r="I183" s="258" t="s">
        <v>132</v>
      </c>
      <c r="J183" s="259">
        <f>L257</f>
        <v>2.6878189917220376E-2</v>
      </c>
      <c r="K183" s="244"/>
      <c r="L183" s="257">
        <f>+J183*G183</f>
        <v>0</v>
      </c>
      <c r="M183" s="244"/>
      <c r="N183" s="244"/>
      <c r="O183" s="244"/>
    </row>
    <row r="184" spans="2:15" ht="15.75" thickBot="1">
      <c r="B184" s="245"/>
      <c r="C184" s="246"/>
      <c r="D184" s="241"/>
      <c r="E184" s="255"/>
      <c r="F184" s="258"/>
      <c r="G184" s="598"/>
      <c r="H184" s="244"/>
      <c r="I184" s="258"/>
      <c r="J184" s="259"/>
      <c r="K184" s="244"/>
      <c r="L184" s="291"/>
      <c r="M184" s="244"/>
      <c r="N184" s="244"/>
      <c r="O184" s="244"/>
    </row>
    <row r="185" spans="2:15" ht="15" customHeight="1">
      <c r="B185" s="245">
        <f>+B183+1</f>
        <v>103</v>
      </c>
      <c r="C185" s="246"/>
      <c r="D185" s="241" t="s">
        <v>301</v>
      </c>
      <c r="E185" s="1223" t="str">
        <f>"(Ln "&amp;B179&amp;"+"&amp;B180&amp;"+
"&amp;B181&amp;"+"&amp;B182&amp;"+"&amp;B183&amp;"+"&amp;B184&amp;")"</f>
        <v>(Ln 98+99+
100+101+102+)</v>
      </c>
      <c r="F185" s="244"/>
      <c r="G185" s="257">
        <f>+G179+G180+G181+G182+G183+G184</f>
        <v>23357085.270971879</v>
      </c>
      <c r="H185" s="244"/>
      <c r="I185" s="258"/>
      <c r="J185" s="244"/>
      <c r="K185" s="244"/>
      <c r="L185" s="257">
        <f>+L179+L180+L181+L182+L183+L184</f>
        <v>3611620.0106484848</v>
      </c>
      <c r="M185" s="244"/>
      <c r="N185" s="244"/>
      <c r="O185" s="244"/>
    </row>
    <row r="186" spans="2:15">
      <c r="B186" s="245"/>
      <c r="C186" s="246"/>
      <c r="D186" s="241"/>
      <c r="E186" s="1224"/>
      <c r="F186" s="244"/>
      <c r="G186" s="257"/>
      <c r="H186" s="244"/>
      <c r="I186" s="258"/>
      <c r="J186" s="244"/>
      <c r="K186" s="244"/>
      <c r="L186" s="257"/>
      <c r="M186" s="244"/>
      <c r="N186" s="244"/>
      <c r="O186" s="244"/>
    </row>
    <row r="187" spans="2:15">
      <c r="B187" s="245">
        <f>+B185+1</f>
        <v>104</v>
      </c>
      <c r="C187" s="246"/>
      <c r="D187" s="241" t="s">
        <v>32</v>
      </c>
      <c r="E187" s="237" t="s">
        <v>422</v>
      </c>
      <c r="G187" s="257"/>
      <c r="H187" s="244"/>
      <c r="I187" s="258"/>
      <c r="J187" s="244"/>
      <c r="K187" s="244"/>
      <c r="L187" s="257"/>
      <c r="M187" s="244"/>
      <c r="N187" s="307"/>
      <c r="O187" s="244"/>
    </row>
    <row r="188" spans="2:15">
      <c r="B188" s="245">
        <f t="shared" ref="B188:B193" si="9">+B187+1</f>
        <v>105</v>
      </c>
      <c r="C188" s="246"/>
      <c r="D188" s="241" t="s">
        <v>138</v>
      </c>
      <c r="G188" s="257"/>
      <c r="H188" s="244"/>
      <c r="I188" s="258"/>
      <c r="K188" s="244"/>
      <c r="L188" s="257"/>
      <c r="M188" s="244"/>
      <c r="N188" s="244"/>
      <c r="O188" s="244"/>
    </row>
    <row r="189" spans="2:15">
      <c r="B189" s="245">
        <f t="shared" si="9"/>
        <v>106</v>
      </c>
      <c r="C189" s="246"/>
      <c r="D189" s="241" t="s">
        <v>139</v>
      </c>
      <c r="E189" s="244" t="str">
        <f>"Worksheet H ln "&amp;'WS H Other Taxes'!A41&amp;"."&amp;'WS H Other Taxes'!I10&amp;""</f>
        <v>Worksheet H ln 22.(D)</v>
      </c>
      <c r="F189" s="244"/>
      <c r="G189" s="257">
        <f>+'WS H Other Taxes'!I41</f>
        <v>1431806.7267090792</v>
      </c>
      <c r="H189" s="257"/>
      <c r="I189" s="258" t="s">
        <v>132</v>
      </c>
      <c r="J189" s="259">
        <f>L257</f>
        <v>2.6878189917220376E-2</v>
      </c>
      <c r="K189" s="244"/>
      <c r="L189" s="257">
        <f>+J189*G189</f>
        <v>38484.373125240287</v>
      </c>
      <c r="M189" s="302"/>
      <c r="N189" s="244"/>
      <c r="O189" s="244"/>
    </row>
    <row r="190" spans="2:15">
      <c r="B190" s="245">
        <f t="shared" si="9"/>
        <v>107</v>
      </c>
      <c r="C190" s="246"/>
      <c r="D190" s="241" t="s">
        <v>140</v>
      </c>
      <c r="E190" s="244" t="s">
        <v>114</v>
      </c>
      <c r="F190" s="244"/>
      <c r="G190" s="257"/>
      <c r="H190" s="257"/>
      <c r="I190" s="258"/>
      <c r="K190" s="244"/>
      <c r="L190" s="257"/>
      <c r="M190" s="244"/>
      <c r="N190" s="244"/>
      <c r="O190" s="244"/>
    </row>
    <row r="191" spans="2:15">
      <c r="B191" s="245">
        <f t="shared" si="9"/>
        <v>108</v>
      </c>
      <c r="C191" s="246"/>
      <c r="D191" s="241" t="s">
        <v>141</v>
      </c>
      <c r="E191" s="244" t="str">
        <f>"Worksheet H ln "&amp;'WS H Other Taxes'!A41&amp;"."&amp;'WS H Other Taxes'!G10&amp;""</f>
        <v>Worksheet H ln 22.(C)</v>
      </c>
      <c r="F191" s="244"/>
      <c r="G191" s="257">
        <f>+'WS H Other Taxes'!G41</f>
        <v>8129559.9999999981</v>
      </c>
      <c r="H191" s="257"/>
      <c r="I191" s="258" t="s">
        <v>129</v>
      </c>
      <c r="J191" s="259"/>
      <c r="K191" s="244"/>
      <c r="L191" s="307">
        <f>'WS H-1-Detail of Tax Amts'!I25</f>
        <v>9690137.8829557598</v>
      </c>
      <c r="M191" s="315"/>
      <c r="N191" s="307"/>
      <c r="O191" s="244"/>
    </row>
    <row r="192" spans="2:15">
      <c r="B192" s="245">
        <f t="shared" si="9"/>
        <v>109</v>
      </c>
      <c r="C192" s="246"/>
      <c r="D192" s="241" t="s">
        <v>200</v>
      </c>
      <c r="E192" s="244" t="str">
        <f>"Worksheet H ln "&amp;'WS H Other Taxes'!A41&amp;"."&amp;'WS H Other Taxes'!M10&amp;""</f>
        <v>Worksheet H ln 22.(F)</v>
      </c>
      <c r="F192" s="244"/>
      <c r="G192" s="257">
        <f>+'WS H Other Taxes'!M41</f>
        <v>12218640</v>
      </c>
      <c r="H192" s="67"/>
      <c r="I192" s="258" t="s">
        <v>127</v>
      </c>
      <c r="J192" s="259">
        <v>0</v>
      </c>
      <c r="K192" s="244"/>
      <c r="L192" s="257">
        <f>+J192*G192</f>
        <v>0</v>
      </c>
      <c r="M192" s="244"/>
      <c r="N192" s="244"/>
      <c r="O192" s="244"/>
    </row>
    <row r="193" spans="2:15" ht="15.75" thickBot="1">
      <c r="B193" s="245">
        <f t="shared" si="9"/>
        <v>110</v>
      </c>
      <c r="C193" s="246"/>
      <c r="D193" s="241" t="s">
        <v>142</v>
      </c>
      <c r="E193" s="244" t="str">
        <f>"Worksheet H ln "&amp;'WS H Other Taxes'!A41&amp;"."&amp;'WS H Other Taxes'!K10&amp;""</f>
        <v>Worksheet H ln 22.(E)</v>
      </c>
      <c r="F193" s="244"/>
      <c r="G193" s="291">
        <f>+'WS H Other Taxes'!K41</f>
        <v>0</v>
      </c>
      <c r="H193" s="67"/>
      <c r="I193" s="258" t="s">
        <v>749</v>
      </c>
      <c r="J193" s="259">
        <f>J77</f>
        <v>0.17819459751376732</v>
      </c>
      <c r="K193" s="244"/>
      <c r="L193" s="291">
        <f>+J193*G193</f>
        <v>0</v>
      </c>
      <c r="M193" s="244"/>
      <c r="N193" s="244"/>
      <c r="O193" s="244"/>
    </row>
    <row r="194" spans="2:15">
      <c r="B194" s="245">
        <f>+B193+1</f>
        <v>111</v>
      </c>
      <c r="C194" s="246"/>
      <c r="D194" s="241" t="s">
        <v>33</v>
      </c>
      <c r="E194" s="255" t="str">
        <f>"(sum lns "&amp;B189&amp;" to "&amp;B193&amp;")"</f>
        <v>(sum lns 106 to 110)</v>
      </c>
      <c r="F194" s="244"/>
      <c r="G194" s="257">
        <f>SUM(G189:G193)</f>
        <v>21780006.726709075</v>
      </c>
      <c r="H194" s="244"/>
      <c r="I194" s="258"/>
      <c r="J194" s="316"/>
      <c r="K194" s="244"/>
      <c r="L194" s="257">
        <f>SUM(L189:L193)</f>
        <v>9728622.256081</v>
      </c>
      <c r="M194" s="244"/>
      <c r="N194" s="244"/>
      <c r="O194" s="244"/>
    </row>
    <row r="195" spans="2:15">
      <c r="B195" s="245"/>
      <c r="C195" s="246"/>
      <c r="D195" s="241"/>
      <c r="E195" s="244"/>
      <c r="F195" s="244"/>
      <c r="G195" s="244"/>
      <c r="H195" s="244"/>
      <c r="I195" s="258"/>
      <c r="J195" s="316"/>
      <c r="K195" s="244"/>
      <c r="L195" s="244"/>
      <c r="M195" s="301"/>
      <c r="N195" s="244"/>
      <c r="O195" s="244"/>
    </row>
    <row r="196" spans="2:15">
      <c r="B196" s="245">
        <f>+B194+1</f>
        <v>112</v>
      </c>
      <c r="C196" s="246"/>
      <c r="D196" s="241" t="s">
        <v>337</v>
      </c>
      <c r="E196" s="244" t="s">
        <v>425</v>
      </c>
      <c r="F196" s="317"/>
      <c r="G196" s="244"/>
      <c r="H196" s="67"/>
      <c r="I196" s="308"/>
      <c r="K196" s="244"/>
      <c r="L196" s="318"/>
      <c r="M196" s="244"/>
      <c r="N196" s="244"/>
      <c r="O196" s="244"/>
    </row>
    <row r="197" spans="2:15">
      <c r="B197" s="245">
        <f t="shared" ref="B197:B204" si="10">+B196+1</f>
        <v>113</v>
      </c>
      <c r="C197" s="246"/>
      <c r="D197" s="302" t="s">
        <v>338</v>
      </c>
      <c r="E197" s="244"/>
      <c r="F197" s="319"/>
      <c r="G197" s="320">
        <f>IF(F355&gt;0,1-(((1-F356)*(1-F355))/(1-F356*F355*F357)),0)</f>
        <v>0.26111299999999993</v>
      </c>
      <c r="H197" s="321"/>
      <c r="I197" s="321"/>
      <c r="K197" s="322"/>
      <c r="L197" s="318"/>
      <c r="M197" s="244"/>
      <c r="N197" s="244"/>
      <c r="O197" s="244"/>
    </row>
    <row r="198" spans="2:15">
      <c r="B198" s="245">
        <f t="shared" si="10"/>
        <v>114</v>
      </c>
      <c r="C198" s="246"/>
      <c r="D198" s="237" t="s">
        <v>339</v>
      </c>
      <c r="E198" s="244"/>
      <c r="F198" s="319"/>
      <c r="G198" s="320">
        <f>IF(L271&gt;0,($G197/(1-$G197))*(1-$L271/$L274),0)</f>
        <v>0.23068418946574765</v>
      </c>
      <c r="H198" s="321"/>
      <c r="I198" s="321"/>
      <c r="K198" s="322"/>
      <c r="L198" s="318"/>
      <c r="M198" s="244"/>
      <c r="N198" s="244"/>
      <c r="O198" s="244"/>
    </row>
    <row r="199" spans="2:15">
      <c r="B199" s="245">
        <f t="shared" si="10"/>
        <v>115</v>
      </c>
      <c r="C199" s="246"/>
      <c r="D199" s="241" t="str">
        <f>"       where WCLTD=(ln "&amp;B271&amp;") and WACC = (ln "&amp;B274&amp;")"</f>
        <v xml:space="preserve">       where WCLTD=(ln 154) and WACC = (ln 157)</v>
      </c>
      <c r="E199" s="244"/>
      <c r="F199" s="317"/>
      <c r="G199" s="244"/>
      <c r="H199" s="321"/>
      <c r="I199" s="321"/>
      <c r="J199" s="323"/>
      <c r="K199" s="322"/>
      <c r="L199" s="324"/>
      <c r="M199" s="244"/>
      <c r="N199" s="244"/>
      <c r="O199" s="244"/>
    </row>
    <row r="200" spans="2:15">
      <c r="B200" s="245">
        <f t="shared" si="10"/>
        <v>116</v>
      </c>
      <c r="C200" s="246"/>
      <c r="D200" s="241" t="s">
        <v>428</v>
      </c>
      <c r="E200" s="325"/>
      <c r="F200" s="319"/>
      <c r="G200" s="244"/>
      <c r="H200" s="67"/>
      <c r="I200" s="308"/>
      <c r="J200" s="323"/>
      <c r="K200" s="322"/>
      <c r="L200" s="318"/>
      <c r="M200" s="244"/>
      <c r="N200" s="244"/>
      <c r="O200" s="244"/>
    </row>
    <row r="201" spans="2:15">
      <c r="B201" s="245">
        <f t="shared" si="10"/>
        <v>117</v>
      </c>
      <c r="C201" s="246"/>
      <c r="D201" s="302" t="str">
        <f>"      GRCF=1 / (1 - T)  = (from ln "&amp;B197&amp;")"</f>
        <v xml:space="preserve">      GRCF=1 / (1 - T)  = (from ln 113)</v>
      </c>
      <c r="E201" s="317"/>
      <c r="F201" s="317"/>
      <c r="G201" s="326">
        <f>IF(G197&gt;0,1/(1-G197),0)</f>
        <v>1.3533869184327236</v>
      </c>
      <c r="H201" s="67"/>
      <c r="I201" s="271"/>
      <c r="J201" s="327"/>
      <c r="K201" s="328"/>
      <c r="L201" s="329"/>
      <c r="M201" s="244"/>
      <c r="N201" s="244"/>
      <c r="O201" s="244"/>
    </row>
    <row r="202" spans="2:15">
      <c r="B202" s="245">
        <f t="shared" si="10"/>
        <v>118</v>
      </c>
      <c r="C202" s="246"/>
      <c r="D202" s="241" t="s">
        <v>340</v>
      </c>
      <c r="E202" s="299" t="s">
        <v>504</v>
      </c>
      <c r="F202" s="317"/>
      <c r="G202" s="598">
        <v>0</v>
      </c>
      <c r="H202" s="67"/>
      <c r="I202" s="271"/>
      <c r="J202" s="330"/>
      <c r="K202" s="328"/>
      <c r="L202" s="779"/>
      <c r="M202" s="258"/>
      <c r="N202" s="244"/>
      <c r="O202" s="244"/>
    </row>
    <row r="203" spans="2:15">
      <c r="B203" s="245">
        <f t="shared" si="10"/>
        <v>119</v>
      </c>
      <c r="C203" s="246"/>
      <c r="D203" s="237" t="s">
        <v>532</v>
      </c>
      <c r="E203" s="244" t="s">
        <v>545</v>
      </c>
      <c r="F203" s="331"/>
      <c r="G203" s="598">
        <v>-1491337.1900000048</v>
      </c>
      <c r="H203" s="67"/>
      <c r="I203" s="258" t="s">
        <v>129</v>
      </c>
      <c r="J203" s="330"/>
      <c r="K203" s="328"/>
      <c r="L203" s="598">
        <v>-124681.92000000179</v>
      </c>
      <c r="M203" s="258"/>
      <c r="N203" s="244"/>
      <c r="O203" s="244"/>
    </row>
    <row r="204" spans="2:15">
      <c r="B204" s="245">
        <f t="shared" si="10"/>
        <v>120</v>
      </c>
      <c r="C204" s="246"/>
      <c r="D204" s="237" t="s">
        <v>739</v>
      </c>
      <c r="E204" s="244" t="s">
        <v>545</v>
      </c>
      <c r="F204" s="331"/>
      <c r="G204" s="598">
        <v>180211.07604161999</v>
      </c>
      <c r="H204" s="67"/>
      <c r="I204" s="258" t="s">
        <v>129</v>
      </c>
      <c r="J204" s="330"/>
      <c r="K204" s="328"/>
      <c r="L204" s="598">
        <v>21376.928408923079</v>
      </c>
      <c r="M204" s="258"/>
      <c r="N204" s="244"/>
      <c r="O204" s="244"/>
    </row>
    <row r="205" spans="2:15">
      <c r="B205" s="245"/>
      <c r="C205" s="246"/>
      <c r="D205" s="241"/>
      <c r="E205" s="244"/>
      <c r="F205" s="319"/>
      <c r="G205" s="257"/>
      <c r="H205" s="67"/>
      <c r="I205" s="271"/>
      <c r="J205" s="332"/>
      <c r="K205" s="328"/>
      <c r="L205" s="318"/>
      <c r="M205" s="244"/>
      <c r="N205" s="244"/>
      <c r="O205" s="244"/>
    </row>
    <row r="206" spans="2:15">
      <c r="B206" s="245">
        <f>+B204+1</f>
        <v>121</v>
      </c>
      <c r="C206" s="246"/>
      <c r="D206" s="302" t="s">
        <v>341</v>
      </c>
      <c r="E206" s="331" t="str">
        <f>"(ln "&amp;B198&amp;" * ln "&amp;B213&amp;")"</f>
        <v>(ln 114 * ln 126)</v>
      </c>
      <c r="F206" s="333"/>
      <c r="G206" s="257">
        <f>+G198*G213</f>
        <v>7980467.3453897769</v>
      </c>
      <c r="H206" s="67"/>
      <c r="I206" s="271"/>
      <c r="J206" s="332"/>
      <c r="K206" s="257"/>
      <c r="L206" s="257">
        <f>+L213*G198</f>
        <v>2398288.0220626025</v>
      </c>
      <c r="M206" s="244"/>
      <c r="N206" s="244"/>
      <c r="O206" s="244"/>
    </row>
    <row r="207" spans="2:15">
      <c r="B207" s="245">
        <f>+B206+1</f>
        <v>122</v>
      </c>
      <c r="C207" s="246"/>
      <c r="D207" s="237" t="s">
        <v>342</v>
      </c>
      <c r="E207" s="331" t="str">
        <f>"(ln "&amp;B201&amp;" * ln "&amp;B202&amp;")"</f>
        <v>(ln 117 * ln 118)</v>
      </c>
      <c r="F207" s="331"/>
      <c r="G207" s="257">
        <f>G201*G202</f>
        <v>0</v>
      </c>
      <c r="H207" s="67"/>
      <c r="I207" s="258" t="s">
        <v>749</v>
      </c>
      <c r="J207" s="259">
        <f>J77</f>
        <v>0.17819459751376732</v>
      </c>
      <c r="K207" s="257"/>
      <c r="L207" s="257">
        <f>+G207*J207</f>
        <v>0</v>
      </c>
      <c r="M207" s="244"/>
      <c r="N207" s="244"/>
      <c r="O207" s="244"/>
    </row>
    <row r="208" spans="2:15">
      <c r="B208" s="245">
        <f>B207+1</f>
        <v>123</v>
      </c>
      <c r="C208" s="246"/>
      <c r="D208" s="237" t="s">
        <v>532</v>
      </c>
      <c r="E208" s="331" t="str">
        <f>"(ln "&amp;B201&amp;" * ln "&amp;B203&amp;")"</f>
        <v>(ln 117 * ln 119)</v>
      </c>
      <c r="F208" s="331"/>
      <c r="G208" s="257">
        <f>G203*G201</f>
        <v>-2018356.2439182238</v>
      </c>
      <c r="H208" s="67"/>
      <c r="I208" s="273"/>
      <c r="J208" s="259"/>
      <c r="K208" s="257"/>
      <c r="L208" s="257">
        <f>L203*G201</f>
        <v>-168742.87949307778</v>
      </c>
      <c r="M208" s="244"/>
      <c r="N208" s="244"/>
      <c r="O208" s="244"/>
    </row>
    <row r="209" spans="2:15">
      <c r="B209" s="245">
        <f>B208+1</f>
        <v>124</v>
      </c>
      <c r="C209" s="246"/>
      <c r="D209" s="237" t="s">
        <v>739</v>
      </c>
      <c r="E209" s="331" t="str">
        <f>"(ln "&amp;B201&amp;" * ln "&amp;B204&amp;")"</f>
        <v>(ln 117 * ln 120)</v>
      </c>
      <c r="F209" s="331"/>
      <c r="G209" s="334">
        <f>G204*G201</f>
        <v>243895.31287141331</v>
      </c>
      <c r="H209" s="67"/>
      <c r="I209" s="273"/>
      <c r="J209" s="259"/>
      <c r="K209" s="257"/>
      <c r="L209" s="334">
        <f>L204*G201</f>
        <v>28931.255264909352</v>
      </c>
      <c r="M209" s="244"/>
      <c r="N209" s="244"/>
      <c r="O209" s="244"/>
    </row>
    <row r="210" spans="2:15">
      <c r="B210" s="245"/>
      <c r="C210" s="246"/>
      <c r="E210" s="331"/>
      <c r="F210" s="331"/>
      <c r="G210" s="257"/>
      <c r="H210" s="67"/>
      <c r="I210" s="273"/>
      <c r="J210" s="259"/>
      <c r="K210" s="257"/>
      <c r="L210" s="257"/>
      <c r="M210" s="244"/>
      <c r="N210" s="244"/>
      <c r="O210" s="244"/>
    </row>
    <row r="211" spans="2:15">
      <c r="B211" s="245">
        <f>+B209+1</f>
        <v>125</v>
      </c>
      <c r="C211" s="246"/>
      <c r="D211" s="302" t="s">
        <v>35</v>
      </c>
      <c r="E211" s="244" t="str">
        <f>"(sum lns "&amp;B206&amp;" to "&amp;B209&amp;")"</f>
        <v>(sum lns 121 to 124)</v>
      </c>
      <c r="F211" s="331"/>
      <c r="G211" s="273">
        <f>SUM(G206:G209)</f>
        <v>6206006.4143429659</v>
      </c>
      <c r="H211" s="67"/>
      <c r="I211" s="271" t="s">
        <v>114</v>
      </c>
      <c r="J211" s="335"/>
      <c r="K211" s="257"/>
      <c r="L211" s="273">
        <f>SUM(L206:L209)</f>
        <v>2258476.3978344342</v>
      </c>
      <c r="M211" s="244"/>
      <c r="N211" s="244"/>
      <c r="O211" s="244"/>
    </row>
    <row r="212" spans="2:15">
      <c r="B212" s="245"/>
      <c r="C212" s="246"/>
      <c r="D212" s="241"/>
      <c r="E212" s="244"/>
      <c r="F212" s="244"/>
      <c r="G212" s="244"/>
      <c r="H212" s="244"/>
      <c r="I212" s="258"/>
      <c r="J212" s="316"/>
      <c r="K212" s="244"/>
      <c r="L212" s="244"/>
      <c r="M212" s="244"/>
      <c r="N212" s="244"/>
      <c r="O212" s="244"/>
    </row>
    <row r="213" spans="2:15">
      <c r="B213" s="245">
        <f>+B211+1</f>
        <v>126</v>
      </c>
      <c r="C213" s="246"/>
      <c r="D213" s="302" t="s">
        <v>199</v>
      </c>
      <c r="E213" s="302" t="str">
        <f>"(ln "&amp;B131&amp;" * ln "&amp;B274&amp;")"</f>
        <v>(ln 68 * ln 157)</v>
      </c>
      <c r="F213" s="297"/>
      <c r="G213" s="257">
        <f>+$L274*G131</f>
        <v>34594773.763525434</v>
      </c>
      <c r="H213" s="244"/>
      <c r="I213" s="271"/>
      <c r="J213" s="257"/>
      <c r="K213" s="257"/>
      <c r="L213" s="257">
        <f>+L274*L131</f>
        <v>10396412.635026745</v>
      </c>
      <c r="M213" s="244"/>
      <c r="N213" s="318"/>
      <c r="O213" s="318"/>
    </row>
    <row r="214" spans="2:15">
      <c r="B214" s="245"/>
      <c r="C214" s="246"/>
      <c r="D214" s="302"/>
      <c r="G214" s="257"/>
      <c r="H214" s="257"/>
      <c r="I214" s="271"/>
      <c r="J214" s="271"/>
      <c r="K214" s="257"/>
      <c r="L214" s="257"/>
      <c r="M214" s="244"/>
    </row>
    <row r="215" spans="2:15">
      <c r="B215" s="245">
        <f>+B213+1</f>
        <v>127</v>
      </c>
      <c r="C215" s="246"/>
      <c r="D215" s="336" t="s">
        <v>99</v>
      </c>
      <c r="F215" s="288"/>
      <c r="G215" s="257">
        <f>-'WS D IPP Credits'!C13</f>
        <v>0</v>
      </c>
      <c r="H215" s="257"/>
      <c r="I215" s="305" t="s">
        <v>129</v>
      </c>
      <c r="J215" s="259">
        <v>1</v>
      </c>
      <c r="K215" s="290"/>
      <c r="L215" s="257">
        <f>+J215*G215</f>
        <v>0</v>
      </c>
      <c r="M215" s="289"/>
    </row>
    <row r="216" spans="2:15">
      <c r="B216" s="245"/>
      <c r="C216" s="246"/>
      <c r="D216" s="336"/>
      <c r="F216" s="288"/>
      <c r="G216" s="257"/>
      <c r="H216" s="257"/>
      <c r="I216" s="305"/>
      <c r="J216" s="259"/>
      <c r="K216" s="290"/>
      <c r="L216" s="257"/>
      <c r="M216" s="289"/>
    </row>
    <row r="217" spans="2:15">
      <c r="B217" s="245">
        <f>+B215+1</f>
        <v>128</v>
      </c>
      <c r="C217" s="246"/>
      <c r="D217" s="336"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288"/>
      <c r="G217" s="257">
        <f>+'WS N - Sale of Plant Held'!O33</f>
        <v>0</v>
      </c>
      <c r="H217" s="257"/>
      <c r="I217" s="305"/>
      <c r="J217" s="259"/>
      <c r="K217" s="290"/>
      <c r="L217" s="257">
        <f>'WS N - Sale of Plant Held'!S33</f>
        <v>0</v>
      </c>
      <c r="M217" s="289"/>
    </row>
    <row r="218" spans="2:15">
      <c r="B218" s="245"/>
      <c r="C218" s="246"/>
      <c r="D218" s="336"/>
      <c r="F218" s="288"/>
      <c r="G218" s="257"/>
      <c r="H218" s="257"/>
      <c r="I218" s="305"/>
      <c r="J218" s="259"/>
      <c r="K218" s="290"/>
      <c r="L218" s="257"/>
      <c r="M218" s="289"/>
    </row>
    <row r="219" spans="2:15">
      <c r="B219" s="245">
        <f>+B217+1</f>
        <v>129</v>
      </c>
      <c r="C219" s="246"/>
      <c r="D219" s="336" t="str">
        <f>" Tax Impact on Net Loss / (Gain) on Sales of Plant Held for Future Use (ln "&amp;B217&amp;" * ln"&amp;B198&amp;")"</f>
        <v xml:space="preserve"> Tax Impact on Net Loss / (Gain) on Sales of Plant Held for Future Use (ln 128 * ln114)</v>
      </c>
      <c r="F219" s="288"/>
      <c r="G219" s="257">
        <f>-+G198*G217</f>
        <v>0</v>
      </c>
      <c r="H219" s="257"/>
      <c r="I219" s="305"/>
      <c r="J219" s="259"/>
      <c r="K219" s="290"/>
      <c r="L219" s="257">
        <f>L217*-G198</f>
        <v>0</v>
      </c>
      <c r="M219" s="289"/>
    </row>
    <row r="220" spans="2:15" ht="15.75" thickBot="1">
      <c r="B220" s="245"/>
      <c r="C220" s="246"/>
      <c r="D220" s="241"/>
      <c r="G220" s="291"/>
      <c r="H220" s="337"/>
      <c r="I220" s="271"/>
      <c r="J220" s="271"/>
      <c r="K220" s="257"/>
      <c r="L220" s="291"/>
      <c r="M220" s="244"/>
    </row>
    <row r="221" spans="2:15" ht="15.75" thickBot="1">
      <c r="B221" s="245">
        <f>+B219+1</f>
        <v>130</v>
      </c>
      <c r="C221" s="246"/>
      <c r="D221" s="237" t="s">
        <v>249</v>
      </c>
      <c r="G221" s="338">
        <f>+G215+G213+G211+G194+G185+G176+G217+G219</f>
        <v>92346120.569324583</v>
      </c>
      <c r="L221" s="338">
        <f>+L215+L213+L211+L194+L185+L176+L217+L219</f>
        <v>27428150.406453256</v>
      </c>
      <c r="M221" s="244"/>
    </row>
    <row r="222" spans="2:15" ht="15.75" thickTop="1">
      <c r="B222" s="245"/>
      <c r="C222" s="246"/>
      <c r="D222" s="241" t="str">
        <f>"    (sum lns "&amp;B176&amp;", "&amp;B185&amp;", "&amp;B194&amp;", "&amp;B211&amp;", "&amp;B213&amp;", "&amp;B215&amp;", "&amp;B217&amp;", "&amp;B219&amp;")"</f>
        <v xml:space="preserve">    (sum lns 96, 103, 111, 125, 126, 127, 128, 129)</v>
      </c>
      <c r="F222" s="253"/>
      <c r="M222" s="244"/>
    </row>
    <row r="223" spans="2:15">
      <c r="B223" s="245"/>
      <c r="C223" s="246"/>
      <c r="F223" s="253"/>
      <c r="M223" s="244"/>
    </row>
    <row r="224" spans="2:15">
      <c r="B224" s="245"/>
      <c r="C224" s="246"/>
      <c r="D224" s="241"/>
      <c r="F224" s="308" t="str">
        <f>F134</f>
        <v xml:space="preserve">AEP East Companies </v>
      </c>
      <c r="M224" s="307"/>
    </row>
    <row r="225" spans="2:16">
      <c r="B225" s="245"/>
      <c r="C225" s="246"/>
      <c r="D225" s="241"/>
      <c r="F225" s="308" t="str">
        <f>F135</f>
        <v>Transmission Cost of Service Formula Rate</v>
      </c>
      <c r="M225" s="307"/>
    </row>
    <row r="226" spans="2:16">
      <c r="B226" s="237"/>
      <c r="C226" s="246"/>
      <c r="F226" s="308" t="str">
        <f>F136</f>
        <v>Utilizing  Actual/Projected FERC Form 1 Data</v>
      </c>
      <c r="M226" s="276"/>
    </row>
    <row r="227" spans="2:16">
      <c r="B227" s="245"/>
      <c r="C227" s="246"/>
      <c r="E227" s="308"/>
      <c r="F227" s="308"/>
      <c r="G227" s="308"/>
      <c r="H227" s="308"/>
      <c r="I227" s="308"/>
      <c r="J227" s="308"/>
      <c r="K227" s="308"/>
      <c r="M227" s="244"/>
    </row>
    <row r="228" spans="2:16">
      <c r="B228" s="245"/>
      <c r="C228" s="246"/>
      <c r="E228" s="241"/>
      <c r="F228" s="308" t="str">
        <f>F138</f>
        <v>WHEELING POWER COMPANY</v>
      </c>
      <c r="G228" s="241"/>
      <c r="H228" s="241"/>
      <c r="I228" s="241"/>
      <c r="J228" s="241"/>
      <c r="K228" s="241"/>
      <c r="L228" s="241"/>
      <c r="M228" s="241"/>
    </row>
    <row r="229" spans="2:16">
      <c r="B229" s="245"/>
      <c r="C229" s="246"/>
      <c r="E229" s="241"/>
      <c r="F229" s="308"/>
      <c r="G229" s="241"/>
      <c r="H229" s="241"/>
      <c r="I229" s="241"/>
      <c r="J229" s="241"/>
      <c r="K229" s="241"/>
      <c r="L229" s="241"/>
      <c r="M229" s="241"/>
    </row>
    <row r="230" spans="2:16" ht="15.75">
      <c r="B230" s="245"/>
      <c r="C230" s="246"/>
      <c r="F230" s="309" t="s">
        <v>40</v>
      </c>
      <c r="H230" s="241"/>
      <c r="I230" s="241"/>
      <c r="J230" s="241"/>
      <c r="K230" s="241"/>
      <c r="L230" s="241"/>
      <c r="M230" s="244"/>
    </row>
    <row r="231" spans="2:16" ht="15.75">
      <c r="B231" s="245"/>
      <c r="C231" s="246"/>
      <c r="D231" s="339"/>
      <c r="E231" s="241"/>
      <c r="F231" s="241"/>
      <c r="G231" s="241"/>
      <c r="H231" s="241"/>
      <c r="I231" s="241"/>
      <c r="J231" s="241"/>
      <c r="K231" s="241"/>
      <c r="L231" s="241"/>
      <c r="M231" s="244"/>
    </row>
    <row r="232" spans="2:16" ht="15.75">
      <c r="B232" s="245" t="s">
        <v>116</v>
      </c>
      <c r="C232" s="246"/>
      <c r="D232" s="339"/>
      <c r="E232" s="241"/>
      <c r="F232" s="241"/>
      <c r="G232" s="241"/>
      <c r="H232" s="241"/>
      <c r="I232" s="241"/>
      <c r="J232" s="241"/>
      <c r="K232" s="241"/>
      <c r="L232" s="241"/>
      <c r="M232" s="244"/>
    </row>
    <row r="233" spans="2:16" ht="15.75" thickBot="1">
      <c r="B233" s="251" t="s">
        <v>117</v>
      </c>
      <c r="C233" s="246"/>
      <c r="D233" s="241" t="s">
        <v>221</v>
      </c>
      <c r="E233" s="241"/>
      <c r="F233" s="241"/>
      <c r="G233" s="241"/>
      <c r="H233" s="241"/>
      <c r="I233" s="241"/>
      <c r="J233" s="241"/>
      <c r="M233" s="244"/>
      <c r="P233"/>
    </row>
    <row r="234" spans="2:16">
      <c r="B234" s="245">
        <f>+B221+1</f>
        <v>131</v>
      </c>
      <c r="C234" s="246"/>
      <c r="D234" s="241" t="s">
        <v>166</v>
      </c>
      <c r="E234" s="340" t="str">
        <f>"(ln "&amp;B68&amp;")"</f>
        <v>(ln 21)</v>
      </c>
      <c r="F234" s="241"/>
      <c r="H234" s="244"/>
      <c r="I234" s="244"/>
      <c r="J234" s="244"/>
      <c r="K234" s="244"/>
      <c r="L234" s="257">
        <f>+G68</f>
        <v>195249113.20771009</v>
      </c>
      <c r="M234" s="244"/>
      <c r="P234"/>
    </row>
    <row r="235" spans="2:16">
      <c r="B235" s="245">
        <f>+B234+1</f>
        <v>132</v>
      </c>
      <c r="C235" s="246"/>
      <c r="D235" s="241" t="str">
        <f>"  Less transmission plant excluded from PJM Tariff  (Worksheet A, ln "&amp;'WS A - RB Support'!A62&amp;", Col. "&amp;'WS A - RB Support'!E47&amp;") (Note P)"</f>
        <v xml:space="preserve">  Less transmission plant excluded from PJM Tariff  (Worksheet A, ln 42, Col. (d)) (Note P)</v>
      </c>
      <c r="G235" s="308"/>
      <c r="L235" s="598">
        <f>'WS A - RB Support'!E62</f>
        <v>0</v>
      </c>
      <c r="M235" s="244"/>
      <c r="P235"/>
    </row>
    <row r="236" spans="2:16" ht="15.75" thickBot="1">
      <c r="B236" s="245">
        <f>+B235+1</f>
        <v>133</v>
      </c>
      <c r="C236" s="246"/>
      <c r="D236" s="241" t="str">
        <f>"  Less transmission plant included in OATT Ancillary Services (Worksheet A, ln "&amp;'WS A - RB Support'!A62&amp;", Col. "&amp;'WS A - RB Support'!C47&amp;")  (Note Q)"</f>
        <v xml:space="preserve">  Less transmission plant included in OATT Ancillary Services (Worksheet A, ln 42, Col. (b))  (Note Q)</v>
      </c>
      <c r="E236" s="241"/>
      <c r="F236" s="241"/>
      <c r="G236" s="258"/>
      <c r="H236" s="244"/>
      <c r="I236" s="244"/>
      <c r="J236" s="258"/>
      <c r="K236" s="244"/>
      <c r="L236" s="341">
        <f>'WS A - RB Support'!C62</f>
        <v>12208248.03643631</v>
      </c>
      <c r="M236" s="244"/>
      <c r="P236"/>
    </row>
    <row r="237" spans="2:16">
      <c r="B237" s="245">
        <f>+B236+1</f>
        <v>134</v>
      </c>
      <c r="C237" s="246"/>
      <c r="D237" s="241" t="s">
        <v>222</v>
      </c>
      <c r="E237" s="255" t="str">
        <f>"(ln "&amp;B234&amp;" - ln "&amp;B235&amp;" - ln "&amp;B236&amp;")"</f>
        <v>(ln 131 - ln 132 - ln 133)</v>
      </c>
      <c r="F237" s="241"/>
      <c r="H237" s="244"/>
      <c r="I237" s="244"/>
      <c r="J237" s="258"/>
      <c r="K237" s="244"/>
      <c r="L237" s="257">
        <f>L234-L235-L236</f>
        <v>183040865.17127377</v>
      </c>
      <c r="M237" s="244"/>
      <c r="P237"/>
    </row>
    <row r="238" spans="2:16">
      <c r="B238" s="245"/>
      <c r="C238" s="246"/>
      <c r="E238" s="241"/>
      <c r="F238" s="241"/>
      <c r="G238" s="258"/>
      <c r="H238" s="244"/>
      <c r="I238" s="244"/>
      <c r="J238" s="258"/>
      <c r="K238" s="244"/>
      <c r="M238" s="244"/>
      <c r="P238"/>
    </row>
    <row r="239" spans="2:16" ht="15.75">
      <c r="B239" s="245">
        <f>+B237+1</f>
        <v>135</v>
      </c>
      <c r="C239" s="246"/>
      <c r="D239" s="241" t="s">
        <v>223</v>
      </c>
      <c r="E239" s="246" t="str">
        <f>"(ln "&amp;B237&amp;" / ln "&amp;B234&amp;")"</f>
        <v>(ln 134 / ln 131)</v>
      </c>
      <c r="F239" s="249"/>
      <c r="H239" s="249"/>
      <c r="I239" s="247"/>
      <c r="J239" s="247"/>
      <c r="K239" s="285" t="s">
        <v>143</v>
      </c>
      <c r="L239" s="342">
        <f>IF(L234&gt;0,L237/L234,0)</f>
        <v>0.93747347767234712</v>
      </c>
      <c r="M239" s="244"/>
      <c r="P239"/>
    </row>
    <row r="240" spans="2:16" ht="15.75">
      <c r="B240" s="245"/>
      <c r="C240" s="246"/>
      <c r="D240" s="339"/>
      <c r="E240" s="241"/>
      <c r="F240" s="241"/>
      <c r="G240" s="244"/>
      <c r="H240" s="241"/>
      <c r="I240" s="246"/>
      <c r="J240" s="241"/>
      <c r="K240" s="241"/>
      <c r="L240" s="241"/>
      <c r="M240" s="244"/>
    </row>
    <row r="241" spans="2:13">
      <c r="B241" s="245"/>
      <c r="C241" s="246"/>
      <c r="D241" s="241"/>
      <c r="E241" s="241"/>
      <c r="F241" s="241"/>
      <c r="G241" s="244"/>
      <c r="H241" s="241"/>
      <c r="I241" s="246"/>
      <c r="J241" s="241"/>
      <c r="K241" s="241"/>
      <c r="L241" s="241"/>
      <c r="M241" s="244"/>
    </row>
    <row r="242" spans="2:13" ht="15.75">
      <c r="B242" s="245"/>
      <c r="C242" s="246"/>
      <c r="D242" s="339"/>
      <c r="E242" s="241"/>
      <c r="F242" s="241"/>
      <c r="G242" s="244"/>
      <c r="H242" s="241"/>
      <c r="I242" s="246"/>
      <c r="J242" s="241"/>
      <c r="K242" s="241"/>
      <c r="L242" s="257"/>
      <c r="M242" s="244"/>
    </row>
    <row r="243" spans="2:13" ht="15.75">
      <c r="B243" s="245"/>
      <c r="C243" s="246"/>
      <c r="D243" s="339"/>
      <c r="E243" s="244"/>
      <c r="F243" s="241"/>
      <c r="G243" s="244"/>
      <c r="H243" s="241"/>
      <c r="I243" s="246"/>
      <c r="J243" s="241"/>
      <c r="K243" s="241"/>
      <c r="L243" s="241"/>
      <c r="M243" s="244"/>
    </row>
    <row r="244" spans="2:13" ht="15.75">
      <c r="B244" s="245"/>
      <c r="C244" s="246"/>
      <c r="D244" s="339"/>
      <c r="E244" s="241"/>
      <c r="F244" s="241"/>
      <c r="G244" s="244"/>
      <c r="H244" s="241"/>
      <c r="I244" s="246"/>
      <c r="J244" s="241"/>
      <c r="K244" s="241"/>
      <c r="L244" s="241"/>
      <c r="M244" s="244"/>
    </row>
    <row r="245" spans="2:13" ht="15.75">
      <c r="B245" s="245"/>
      <c r="C245" s="246"/>
      <c r="D245" s="339"/>
      <c r="E245" s="241"/>
      <c r="F245" s="241"/>
      <c r="G245" s="244"/>
      <c r="H245" s="241"/>
      <c r="I245" s="246"/>
      <c r="J245" s="241"/>
      <c r="K245" s="241"/>
      <c r="L245" s="241"/>
      <c r="M245" s="244"/>
    </row>
    <row r="246" spans="2:13" ht="15.75">
      <c r="B246" s="245"/>
      <c r="C246" s="246"/>
      <c r="D246" s="241"/>
      <c r="E246" s="241"/>
      <c r="F246" s="241"/>
      <c r="G246" s="244"/>
      <c r="H246" s="241"/>
      <c r="I246" s="246"/>
      <c r="J246" s="241"/>
      <c r="K246" s="241"/>
      <c r="L246" s="339"/>
      <c r="M246" s="244"/>
    </row>
    <row r="247" spans="2:13" ht="15.75">
      <c r="B247" s="245"/>
      <c r="C247" s="246"/>
      <c r="D247" s="339"/>
      <c r="E247" s="241"/>
      <c r="F247" s="241"/>
      <c r="G247" s="244"/>
      <c r="H247" s="241"/>
      <c r="I247" s="246"/>
      <c r="J247" s="241"/>
      <c r="K247" s="241"/>
      <c r="L247" s="241"/>
      <c r="M247" s="244"/>
    </row>
    <row r="248" spans="2:13" ht="30">
      <c r="B248" s="245">
        <f>B239+1</f>
        <v>136</v>
      </c>
      <c r="C248" s="246"/>
      <c r="D248" s="241" t="s">
        <v>41</v>
      </c>
      <c r="E248" s="258" t="s">
        <v>343</v>
      </c>
      <c r="F248" s="258" t="s">
        <v>184</v>
      </c>
      <c r="G248" s="343" t="s">
        <v>214</v>
      </c>
      <c r="H248" s="308" t="s">
        <v>118</v>
      </c>
      <c r="I248" s="258"/>
      <c r="J248" s="244"/>
      <c r="K248" s="244"/>
      <c r="L248" s="244"/>
      <c r="M248" s="244"/>
    </row>
    <row r="249" spans="2:13">
      <c r="B249" s="245">
        <f t="shared" ref="B249:B255" si="11">+B248+1</f>
        <v>137</v>
      </c>
      <c r="C249" s="246"/>
      <c r="D249" s="241" t="s">
        <v>126</v>
      </c>
      <c r="E249" s="244" t="s">
        <v>431</v>
      </c>
      <c r="F249" s="1214">
        <v>9958404</v>
      </c>
      <c r="G249" s="1214">
        <v>5232495</v>
      </c>
      <c r="H249" s="286">
        <f>+F249+G249</f>
        <v>15190899</v>
      </c>
      <c r="I249" s="258" t="s">
        <v>127</v>
      </c>
      <c r="J249" s="259">
        <v>0</v>
      </c>
      <c r="K249" s="344"/>
      <c r="L249" s="257">
        <f>(F249+G249)*J249</f>
        <v>0</v>
      </c>
      <c r="M249" s="244"/>
    </row>
    <row r="250" spans="2:13">
      <c r="B250" s="245">
        <f t="shared" si="11"/>
        <v>138</v>
      </c>
      <c r="C250" s="246"/>
      <c r="D250" s="241" t="s">
        <v>128</v>
      </c>
      <c r="E250" s="244" t="s">
        <v>12</v>
      </c>
      <c r="F250" s="1214">
        <v>741</v>
      </c>
      <c r="G250" s="1214">
        <v>527026</v>
      </c>
      <c r="H250" s="286">
        <f>+F250+G250</f>
        <v>527767</v>
      </c>
      <c r="I250" s="246" t="s">
        <v>120</v>
      </c>
      <c r="J250" s="259">
        <f>L239</f>
        <v>0.93747347767234712</v>
      </c>
      <c r="K250" s="344"/>
      <c r="L250" s="257">
        <f>(F250+G250)*J250</f>
        <v>494767.56489070161</v>
      </c>
      <c r="M250" s="244"/>
    </row>
    <row r="251" spans="2:13">
      <c r="B251" s="245">
        <f t="shared" si="11"/>
        <v>139</v>
      </c>
      <c r="C251" s="246"/>
      <c r="D251" s="241" t="s">
        <v>226</v>
      </c>
      <c r="E251" s="244" t="s">
        <v>466</v>
      </c>
      <c r="F251" s="1214">
        <v>0</v>
      </c>
      <c r="G251" s="1214">
        <v>0</v>
      </c>
      <c r="H251" s="286">
        <v>0</v>
      </c>
      <c r="I251" s="258" t="s">
        <v>127</v>
      </c>
      <c r="J251" s="259">
        <v>0</v>
      </c>
      <c r="K251" s="344"/>
      <c r="L251" s="257">
        <f>(F251+G251)*J251</f>
        <v>0</v>
      </c>
      <c r="M251" s="244"/>
    </row>
    <row r="252" spans="2:13">
      <c r="B252" s="245"/>
      <c r="C252" s="246"/>
      <c r="D252" s="241"/>
      <c r="E252" s="244"/>
      <c r="F252" s="1215"/>
      <c r="G252" s="1215"/>
      <c r="H252" s="286"/>
      <c r="I252" s="258"/>
      <c r="J252" s="259"/>
      <c r="K252" s="344"/>
      <c r="L252" s="257"/>
      <c r="M252" s="244"/>
    </row>
    <row r="253" spans="2:13">
      <c r="B253" s="245">
        <f>+B251+1</f>
        <v>140</v>
      </c>
      <c r="C253" s="246"/>
      <c r="D253" s="241" t="s">
        <v>130</v>
      </c>
      <c r="E253" s="244" t="s">
        <v>429</v>
      </c>
      <c r="F253" s="1214">
        <v>1849746</v>
      </c>
      <c r="G253" s="1214">
        <v>441309</v>
      </c>
      <c r="H253" s="286">
        <f>+F253+G253</f>
        <v>2291055</v>
      </c>
      <c r="I253" s="258" t="s">
        <v>127</v>
      </c>
      <c r="J253" s="259">
        <v>0</v>
      </c>
      <c r="K253" s="344"/>
      <c r="L253" s="257">
        <f>(F253+G253)*J253</f>
        <v>0</v>
      </c>
      <c r="M253" s="244"/>
    </row>
    <row r="254" spans="2:13" ht="15.75" thickBot="1">
      <c r="B254" s="245">
        <f t="shared" si="11"/>
        <v>141</v>
      </c>
      <c r="C254" s="246"/>
      <c r="D254" s="241" t="s">
        <v>201</v>
      </c>
      <c r="E254" s="244" t="s">
        <v>430</v>
      </c>
      <c r="F254" s="1216">
        <v>74894</v>
      </c>
      <c r="G254" s="1216">
        <v>323156</v>
      </c>
      <c r="H254" s="345">
        <f>+F254+G254</f>
        <v>398050</v>
      </c>
      <c r="I254" s="258" t="s">
        <v>127</v>
      </c>
      <c r="J254" s="259">
        <v>0</v>
      </c>
      <c r="K254" s="344"/>
      <c r="L254" s="291">
        <f>(F254+G254)*J254</f>
        <v>0</v>
      </c>
      <c r="M254" s="244"/>
    </row>
    <row r="255" spans="2:13" ht="15.75">
      <c r="B255" s="245">
        <f t="shared" si="11"/>
        <v>142</v>
      </c>
      <c r="C255" s="246"/>
      <c r="D255" s="241" t="s">
        <v>118</v>
      </c>
      <c r="E255" s="241" t="str">
        <f>"(sum lns "&amp;B249&amp;" to "&amp;B254&amp;")"</f>
        <v>(sum lns 137 to 141)</v>
      </c>
      <c r="F255" s="244">
        <f>SUM(F249:F254)</f>
        <v>11883785</v>
      </c>
      <c r="G255" s="244">
        <f>SUM(G249:G254)</f>
        <v>6523986</v>
      </c>
      <c r="H255" s="244">
        <f>SUM(H249:H254)</f>
        <v>18407771</v>
      </c>
      <c r="I255" s="258"/>
      <c r="J255" s="244"/>
      <c r="K255" s="244"/>
      <c r="L255" s="257">
        <f>SUM(L249:L254)</f>
        <v>494767.56489070161</v>
      </c>
      <c r="M255" s="280"/>
    </row>
    <row r="256" spans="2:13">
      <c r="B256" s="245"/>
      <c r="C256" s="246"/>
      <c r="D256" s="241" t="s">
        <v>114</v>
      </c>
      <c r="E256" s="244" t="s">
        <v>114</v>
      </c>
      <c r="F256" s="244"/>
      <c r="H256" s="244"/>
      <c r="I256" s="308"/>
    </row>
    <row r="257" spans="2:21" ht="15.75">
      <c r="B257" s="245">
        <f>B255+1</f>
        <v>143</v>
      </c>
      <c r="C257" s="246"/>
      <c r="D257" s="241" t="s">
        <v>42</v>
      </c>
      <c r="E257" s="244"/>
      <c r="F257" s="244"/>
      <c r="G257" s="244"/>
      <c r="H257" s="244"/>
      <c r="I257" s="308"/>
      <c r="K257" s="346" t="s">
        <v>43</v>
      </c>
      <c r="L257" s="347">
        <f>L255/(F255+G255)</f>
        <v>2.6878189917220376E-2</v>
      </c>
    </row>
    <row r="258" spans="2:21">
      <c r="B258" s="245"/>
      <c r="C258" s="246"/>
      <c r="D258" s="241"/>
      <c r="E258" s="244"/>
      <c r="F258" s="244"/>
      <c r="G258" s="244"/>
      <c r="H258" s="244"/>
      <c r="I258" s="258"/>
      <c r="J258" s="244"/>
      <c r="K258" s="244"/>
      <c r="L258" s="244"/>
      <c r="M258" s="244"/>
    </row>
    <row r="259" spans="2:21" ht="15.75">
      <c r="B259" s="245"/>
      <c r="C259" s="246"/>
      <c r="D259" s="241"/>
      <c r="E259" s="253"/>
      <c r="F259" s="244"/>
      <c r="H259" s="244"/>
      <c r="I259" s="244"/>
      <c r="J259" s="244"/>
      <c r="K259" s="285"/>
      <c r="L259" s="348"/>
      <c r="M259" s="244"/>
    </row>
    <row r="260" spans="2:21" ht="15.75" thickBot="1">
      <c r="B260" s="245">
        <f>+B257+1</f>
        <v>144</v>
      </c>
      <c r="C260" s="246"/>
      <c r="D260" s="241" t="s">
        <v>198</v>
      </c>
      <c r="E260" s="244"/>
      <c r="F260" s="244"/>
      <c r="G260" s="244"/>
      <c r="H260" s="244"/>
      <c r="I260" s="244"/>
      <c r="J260" s="244"/>
      <c r="K260" s="244"/>
      <c r="L260" s="349" t="s">
        <v>144</v>
      </c>
      <c r="M260" s="244"/>
    </row>
    <row r="261" spans="2:21">
      <c r="B261" s="245">
        <f t="shared" ref="B261:B268" si="12">+B260+1</f>
        <v>145</v>
      </c>
      <c r="C261" s="246"/>
      <c r="D261" s="244" t="s">
        <v>219</v>
      </c>
      <c r="E261" s="237" t="str">
        <f>"(Worksheet M, ln. "&amp;'WS M - Cost of Capital'!A56&amp;", col. "&amp;'WS M - Cost of Capital'!E47&amp;")"</f>
        <v>(Worksheet M, ln. 37, col. (d))</v>
      </c>
      <c r="F261" s="244"/>
      <c r="G261" s="244"/>
      <c r="H261" s="244"/>
      <c r="I261" s="244"/>
      <c r="J261" s="244"/>
      <c r="K261" s="244"/>
      <c r="L261" s="257">
        <f>'WS M - Cost of Capital'!E56</f>
        <v>21734899.853628248</v>
      </c>
      <c r="M261" s="244"/>
    </row>
    <row r="262" spans="2:21">
      <c r="B262" s="245">
        <f t="shared" si="12"/>
        <v>146</v>
      </c>
      <c r="C262" s="246"/>
      <c r="D262" s="244" t="s">
        <v>220</v>
      </c>
      <c r="E262" s="237" t="str">
        <f>"(Worksheet M, ln. "&amp;'WS M - Cost of Capital'!A103&amp;")"</f>
        <v>(Worksheet M, ln. 71)</v>
      </c>
      <c r="F262" s="244"/>
      <c r="G262" s="244"/>
      <c r="H262" s="244"/>
      <c r="I262" s="244"/>
      <c r="J262" s="244"/>
      <c r="K262" s="244"/>
      <c r="L262" s="257">
        <f>'WS M - Cost of Capital'!E103</f>
        <v>0</v>
      </c>
      <c r="M262" s="244"/>
    </row>
    <row r="263" spans="2:21">
      <c r="B263" s="245">
        <f t="shared" si="12"/>
        <v>147</v>
      </c>
      <c r="C263" s="246"/>
      <c r="D263" s="350" t="s">
        <v>242</v>
      </c>
      <c r="E263" s="244"/>
      <c r="F263" s="244"/>
      <c r="G263" s="244"/>
      <c r="H263"/>
      <c r="I263" s="244"/>
      <c r="J263" s="244"/>
      <c r="K263" s="244"/>
      <c r="L263" s="257"/>
      <c r="M263" s="244"/>
    </row>
    <row r="264" spans="2:21">
      <c r="B264" s="245">
        <f t="shared" si="12"/>
        <v>148</v>
      </c>
      <c r="C264" s="246"/>
      <c r="D264" s="244" t="s">
        <v>243</v>
      </c>
      <c r="E264" s="364" t="str">
        <f>"(Worksheet M, ln. "&amp;'WS M - Cost of Capital'!A23&amp;", col. "&amp;'WS M - Cost of Capital'!C8&amp;")"</f>
        <v>(Worksheet M, ln. 14, col. (b))</v>
      </c>
      <c r="F264" s="244"/>
      <c r="G264" s="241"/>
      <c r="H264" s="67"/>
      <c r="I264" s="244"/>
      <c r="J264" s="244"/>
      <c r="K264" s="244"/>
      <c r="L264" s="257">
        <f>'WS M - Cost of Capital'!C23</f>
        <v>393334178.98131269</v>
      </c>
      <c r="M264" s="244"/>
    </row>
    <row r="265" spans="2:21">
      <c r="B265" s="245">
        <f t="shared" si="12"/>
        <v>149</v>
      </c>
      <c r="C265" s="246"/>
      <c r="D265" s="244" t="s">
        <v>368</v>
      </c>
      <c r="E265" s="364" t="str">
        <f>"(Worksheet M, ln. "&amp;'WS M - Cost of Capital'!A23&amp;", col. "&amp;'WS M - Cost of Capital'!D8&amp;")"</f>
        <v>(Worksheet M, ln. 14, col. (c))</v>
      </c>
      <c r="F265" s="244"/>
      <c r="G265" s="244"/>
      <c r="H265" s="67"/>
      <c r="I265" s="244"/>
      <c r="J265" s="244"/>
      <c r="K265" s="244"/>
      <c r="L265" s="286">
        <f>'WS M - Cost of Capital'!D23</f>
        <v>0</v>
      </c>
      <c r="M265" s="244"/>
    </row>
    <row r="266" spans="2:21">
      <c r="B266" s="245">
        <f>+B265+1</f>
        <v>150</v>
      </c>
      <c r="C266" s="246"/>
      <c r="D266" s="244" t="s">
        <v>361</v>
      </c>
      <c r="E266" s="364" t="str">
        <f>"(Worksheet M, ln. "&amp;'WS M - Cost of Capital'!A23&amp;", col. "&amp;'WS M - Cost of Capital'!E8&amp;")"</f>
        <v>(Worksheet M, ln. 14, col. (d))</v>
      </c>
      <c r="F266" s="244"/>
      <c r="G266" s="244"/>
      <c r="H266" s="67"/>
      <c r="I266" s="244"/>
      <c r="J266" s="244"/>
      <c r="K266" s="244"/>
      <c r="L266" s="286">
        <f>'WS M - Cost of Capital'!E23</f>
        <v>0</v>
      </c>
      <c r="M266" s="244"/>
    </row>
    <row r="267" spans="2:21" ht="15.75" thickBot="1">
      <c r="B267" s="245">
        <f t="shared" si="12"/>
        <v>151</v>
      </c>
      <c r="C267" s="246"/>
      <c r="D267" s="244" t="s">
        <v>367</v>
      </c>
      <c r="E267" s="364" t="str">
        <f>"(Worksheet M, ln. "&amp;'WS M - Cost of Capital'!A23&amp;", col. "&amp;'WS M - Cost of Capital'!F8&amp;")"</f>
        <v>(Worksheet M, ln. 14, col. (e))</v>
      </c>
      <c r="F267" s="244"/>
      <c r="G267" s="244"/>
      <c r="H267" s="67"/>
      <c r="I267" s="244"/>
      <c r="J267" s="303"/>
      <c r="K267" s="244"/>
      <c r="L267" s="345">
        <f>'WS M - Cost of Capital'!F23</f>
        <v>-1469237.2599999995</v>
      </c>
      <c r="M267" s="244"/>
    </row>
    <row r="268" spans="2:21">
      <c r="B268" s="245">
        <f t="shared" si="12"/>
        <v>152</v>
      </c>
      <c r="C268" s="246"/>
      <c r="D268" s="237" t="s">
        <v>244</v>
      </c>
      <c r="E268" s="244" t="str">
        <f>"(ln "&amp;B264&amp;" - ln "&amp;B265&amp;" - ln "&amp;B266&amp;" - ln "&amp;B267&amp;")"</f>
        <v>(ln 148 - ln 149 - ln 150 - ln 151)</v>
      </c>
      <c r="F268" s="253"/>
      <c r="H268" s="241"/>
      <c r="I268" s="241"/>
      <c r="J268" s="241"/>
      <c r="K268" s="241"/>
      <c r="L268" s="257">
        <f>+L264-L265-L266-L267</f>
        <v>394803416.24131268</v>
      </c>
      <c r="M268" s="244"/>
    </row>
    <row r="269" spans="2:21" ht="15.75">
      <c r="B269" s="245"/>
      <c r="C269" s="246"/>
      <c r="D269" s="241"/>
      <c r="E269" s="244"/>
      <c r="F269" s="244"/>
      <c r="G269" s="1222"/>
      <c r="H269" s="1222"/>
      <c r="I269" s="322"/>
      <c r="J269" s="351" t="s">
        <v>145</v>
      </c>
      <c r="K269" s="244"/>
      <c r="L269" s="244"/>
      <c r="M269" s="244"/>
    </row>
    <row r="270" spans="2:21" ht="15.75" thickBot="1">
      <c r="B270" s="245">
        <f>+B268+1</f>
        <v>153</v>
      </c>
      <c r="C270" s="246"/>
      <c r="D270" s="241"/>
      <c r="F270" s="244"/>
      <c r="G270" s="252" t="s">
        <v>144</v>
      </c>
      <c r="H270" s="252" t="s">
        <v>146</v>
      </c>
      <c r="I270" s="349" t="s">
        <v>900</v>
      </c>
      <c r="J270" s="352" t="s">
        <v>427</v>
      </c>
      <c r="K270" s="244"/>
      <c r="L270" s="252" t="s">
        <v>147</v>
      </c>
      <c r="M270" s="244"/>
      <c r="N270" s="241"/>
      <c r="O270" s="241"/>
      <c r="P270" s="241"/>
      <c r="Q270" s="241"/>
      <c r="R270" s="241"/>
      <c r="S270" s="241"/>
      <c r="T270" s="241"/>
      <c r="U270" s="241"/>
    </row>
    <row r="271" spans="2:21">
      <c r="B271" s="245">
        <f>+B270+1</f>
        <v>154</v>
      </c>
      <c r="C271" s="246"/>
      <c r="D271" s="364" t="str">
        <f>"  Long Term Debt  (Note T) Worksheet M, ln "&amp;'WS M - Cost of Capital'!A42&amp;", col. (g), ln "&amp;'WS M - Cost of Capital'!A58&amp;", col. "&amp;'WS M - Cost of Capital'!E47&amp;")"</f>
        <v xml:space="preserve">  Long Term Debt  (Note T) Worksheet M, ln 28, col. (g), ln 38, col. (d))</v>
      </c>
      <c r="E271" s="364"/>
      <c r="F271" s="244"/>
      <c r="G271" s="257">
        <f>'WS M - Cost of Capital'!H42</f>
        <v>380769230.76923078</v>
      </c>
      <c r="H271" s="957">
        <f>IF($G$274&gt;0,G271/$G$274,0)</f>
        <v>0.49095237207876213</v>
      </c>
      <c r="I271" s="267">
        <f>IF(H273&gt;E276,1-I272-I273,H271)</f>
        <v>0.49095237207876213</v>
      </c>
      <c r="J271" s="303">
        <f>'WS M - Cost of Capital'!E58</f>
        <v>5.7081555171144889E-2</v>
      </c>
      <c r="L271" s="354">
        <f>H271*J271</f>
        <v>2.8024324913218313E-2</v>
      </c>
      <c r="M271" s="355"/>
      <c r="N271" s="241"/>
      <c r="O271" s="241"/>
      <c r="P271" s="241"/>
      <c r="Q271" s="241"/>
      <c r="R271" s="241"/>
      <c r="S271" s="241"/>
      <c r="T271" s="241"/>
      <c r="U271" s="241"/>
    </row>
    <row r="272" spans="2:21">
      <c r="B272" s="245">
        <f>+B271+1</f>
        <v>155</v>
      </c>
      <c r="C272" s="246"/>
      <c r="D272" s="241" t="str">
        <f>"  Preferred Stock (ln "&amp;B265&amp;")"</f>
        <v xml:space="preserve">  Preferred Stock (ln 149)</v>
      </c>
      <c r="G272" s="257">
        <f>+L265</f>
        <v>0</v>
      </c>
      <c r="H272" s="267">
        <f>IF($G$274&gt;0,G272/$G$274,0)</f>
        <v>0</v>
      </c>
      <c r="I272" s="267">
        <f>H272</f>
        <v>0</v>
      </c>
      <c r="J272" s="353">
        <f>IF(G272&gt;0,L262/G272,0)</f>
        <v>0</v>
      </c>
      <c r="L272" s="356">
        <f>H272*J272</f>
        <v>0</v>
      </c>
      <c r="M272" s="244"/>
    </row>
    <row r="273" spans="2:21" ht="15.75" thickBot="1">
      <c r="B273" s="245">
        <f>+B272+1</f>
        <v>156</v>
      </c>
      <c r="C273" s="246"/>
      <c r="D273" s="241" t="str">
        <f>"  Common Stock (ln "&amp;B268&amp;")"</f>
        <v xml:space="preserve">  Common Stock (ln 152)</v>
      </c>
      <c r="G273" s="291">
        <f>+L268</f>
        <v>394803416.24131268</v>
      </c>
      <c r="H273" s="267">
        <f>IF($G$274&gt;0,G273/$G$274,0)</f>
        <v>0.50904762792123781</v>
      </c>
      <c r="I273" s="267">
        <f>IF(H273&gt;E276,E276,H273)</f>
        <v>0.50904762792123781</v>
      </c>
      <c r="J273" s="600">
        <v>0.10349999999999999</v>
      </c>
      <c r="L273" s="357">
        <f>H273*J273</f>
        <v>5.2686429489848113E-2</v>
      </c>
      <c r="M273" s="244"/>
    </row>
    <row r="274" spans="2:21" ht="15.75">
      <c r="B274" s="245">
        <f>+B273+1</f>
        <v>157</v>
      </c>
      <c r="C274" s="246"/>
      <c r="D274" s="241" t="str">
        <f>" Total (Sum lns "&amp;B271&amp;" to "&amp;B273&amp;")"</f>
        <v xml:space="preserve"> Total (Sum lns 154 to 156)</v>
      </c>
      <c r="G274" s="257">
        <f>G273+G272+G271</f>
        <v>775572647.01054347</v>
      </c>
      <c r="I274" s="322"/>
      <c r="J274" s="358"/>
      <c r="K274" s="300" t="s">
        <v>25</v>
      </c>
      <c r="L274" s="359">
        <f>SUM(L271:L273)</f>
        <v>8.0710754403066423E-2</v>
      </c>
      <c r="M274" s="360"/>
    </row>
    <row r="275" spans="2:21" ht="15.75">
      <c r="B275" s="245"/>
      <c r="C275" s="246"/>
      <c r="D275" s="241"/>
      <c r="G275" s="257"/>
      <c r="I275" s="322"/>
      <c r="J275" s="358"/>
      <c r="K275" s="300"/>
      <c r="L275" s="359"/>
      <c r="M275" s="360"/>
    </row>
    <row r="276" spans="2:21" ht="15.75">
      <c r="B276" s="245">
        <f>B274+1</f>
        <v>158</v>
      </c>
      <c r="C276" s="11"/>
      <c r="D276" s="11" t="s">
        <v>899</v>
      </c>
      <c r="E276" s="965">
        <v>0.55000000000000004</v>
      </c>
      <c r="G276" s="257"/>
      <c r="I276" s="322"/>
      <c r="J276" s="358"/>
      <c r="K276" s="300"/>
      <c r="L276" s="359"/>
      <c r="M276" s="360"/>
    </row>
    <row r="277" spans="2:21">
      <c r="B277" s="245"/>
      <c r="C277" s="67"/>
      <c r="D277" s="67"/>
      <c r="E277"/>
      <c r="F277"/>
      <c r="G277"/>
      <c r="H277"/>
      <c r="I277"/>
      <c r="J277" s="244"/>
      <c r="K277" s="241"/>
      <c r="L277" s="244"/>
      <c r="M277" s="241"/>
      <c r="N277" s="241"/>
      <c r="O277" s="241"/>
      <c r="P277" s="241"/>
      <c r="Q277" s="241"/>
      <c r="R277" s="241"/>
      <c r="S277" s="241"/>
      <c r="T277" s="241"/>
      <c r="U277" s="241"/>
    </row>
    <row r="278" spans="2:21" ht="15.75">
      <c r="B278" s="306"/>
      <c r="C278" s="246"/>
      <c r="D278" s="238"/>
      <c r="E278" s="238"/>
      <c r="F278" s="308" t="str">
        <f>F224</f>
        <v xml:space="preserve">AEP East Companies </v>
      </c>
      <c r="G278" s="239"/>
      <c r="H278" s="244"/>
      <c r="I278" s="244"/>
      <c r="J278" s="244"/>
      <c r="K278" s="241"/>
      <c r="L278" s="244"/>
      <c r="M278" s="276"/>
      <c r="N278" s="241"/>
      <c r="O278" s="241"/>
      <c r="P278" s="241"/>
      <c r="Q278" s="241"/>
      <c r="R278" s="241"/>
      <c r="S278" s="241"/>
      <c r="T278" s="241"/>
      <c r="U278" s="241"/>
    </row>
    <row r="279" spans="2:21">
      <c r="B279" s="306"/>
      <c r="C279" s="246"/>
      <c r="E279" s="246"/>
      <c r="F279" s="308" t="str">
        <f>F225</f>
        <v>Transmission Cost of Service Formula Rate</v>
      </c>
      <c r="G279" s="244"/>
      <c r="H279" s="244"/>
      <c r="I279" s="244"/>
      <c r="J279" s="244"/>
      <c r="K279" s="241"/>
      <c r="L279" s="254"/>
      <c r="M279" s="276"/>
      <c r="N279" s="241"/>
      <c r="O279" s="241"/>
      <c r="P279" s="241"/>
      <c r="Q279" s="241"/>
      <c r="R279" s="241"/>
      <c r="S279" s="241"/>
      <c r="T279" s="241"/>
      <c r="U279" s="241"/>
    </row>
    <row r="280" spans="2:21" ht="15.75">
      <c r="B280" s="306"/>
      <c r="C280" s="246"/>
      <c r="E280" s="309"/>
      <c r="F280" s="308" t="str">
        <f>F226</f>
        <v>Utilizing  Actual/Projected FERC Form 1 Data</v>
      </c>
      <c r="G280" s="244"/>
      <c r="H280" s="244"/>
      <c r="I280" s="244"/>
      <c r="J280" s="244"/>
      <c r="K280" s="241"/>
      <c r="L280" s="254"/>
      <c r="M280" s="276"/>
      <c r="N280" s="241"/>
      <c r="O280" s="241"/>
      <c r="P280" s="241"/>
      <c r="Q280" s="241"/>
      <c r="R280" s="241"/>
      <c r="S280" s="241"/>
      <c r="T280" s="241"/>
      <c r="U280" s="241"/>
    </row>
    <row r="281" spans="2:21" ht="15.75">
      <c r="B281" s="245"/>
      <c r="C281" s="246"/>
      <c r="E281" s="309"/>
      <c r="F281" s="308"/>
      <c r="G281" s="244"/>
      <c r="H281" s="244"/>
      <c r="I281" s="244"/>
      <c r="J281" s="244"/>
      <c r="K281" s="241"/>
      <c r="L281" s="254"/>
      <c r="N281" s="241"/>
      <c r="O281" s="241"/>
      <c r="P281" s="241"/>
      <c r="Q281" s="241"/>
      <c r="R281" s="241"/>
      <c r="S281" s="241"/>
      <c r="T281" s="241"/>
      <c r="U281" s="241"/>
    </row>
    <row r="282" spans="2:21" ht="15.75">
      <c r="B282" s="245"/>
      <c r="C282" s="246"/>
      <c r="E282" s="309"/>
      <c r="F282" s="308" t="str">
        <f>F228</f>
        <v>WHEELING POWER COMPANY</v>
      </c>
      <c r="G282" s="244"/>
      <c r="H282" s="244"/>
      <c r="I282" s="244"/>
      <c r="J282" s="244"/>
      <c r="K282" s="241"/>
      <c r="L282" s="254"/>
      <c r="N282" s="241"/>
      <c r="O282" s="241"/>
      <c r="P282" s="241"/>
      <c r="Q282" s="241"/>
      <c r="R282" s="241"/>
      <c r="S282" s="241"/>
      <c r="T282" s="241"/>
      <c r="U282" s="241"/>
    </row>
    <row r="283" spans="2:21" ht="15.75">
      <c r="B283" s="245"/>
      <c r="C283" s="246"/>
      <c r="E283" s="309"/>
      <c r="F283" s="308"/>
      <c r="G283" s="244"/>
      <c r="H283" s="244"/>
      <c r="I283" s="244"/>
      <c r="J283" s="244"/>
      <c r="K283" s="241"/>
      <c r="L283" s="254"/>
      <c r="N283" s="241"/>
      <c r="O283" s="241"/>
      <c r="P283" s="241"/>
      <c r="Q283" s="241"/>
      <c r="R283" s="241"/>
      <c r="S283" s="241"/>
      <c r="T283" s="241"/>
      <c r="U283" s="241"/>
    </row>
    <row r="284" spans="2:21" ht="15.75">
      <c r="B284" s="284" t="s">
        <v>176</v>
      </c>
      <c r="C284" s="246"/>
      <c r="D284" s="241"/>
      <c r="E284" s="241"/>
      <c r="F284" s="284" t="s">
        <v>175</v>
      </c>
      <c r="G284" s="244"/>
      <c r="H284" s="244"/>
      <c r="I284" s="244"/>
      <c r="J284" s="244"/>
      <c r="K284" s="241"/>
      <c r="L284" s="244"/>
      <c r="N284" s="241"/>
      <c r="O284" s="241"/>
      <c r="P284" s="241"/>
      <c r="Q284" s="241"/>
      <c r="R284" s="241"/>
      <c r="S284" s="241"/>
      <c r="T284" s="241"/>
      <c r="U284" s="241"/>
    </row>
    <row r="285" spans="2:21">
      <c r="C285" s="246"/>
      <c r="L285" s="254"/>
      <c r="N285" s="241"/>
      <c r="O285" s="241"/>
      <c r="P285" s="241"/>
      <c r="Q285" s="241"/>
      <c r="R285" s="241"/>
      <c r="S285" s="241"/>
      <c r="T285" s="241"/>
      <c r="U285" s="241"/>
    </row>
    <row r="286" spans="2:21">
      <c r="B286" s="245"/>
      <c r="C286" s="246"/>
      <c r="D286" s="241" t="s">
        <v>5</v>
      </c>
      <c r="E286" s="246"/>
      <c r="F286" s="246"/>
      <c r="G286" s="244"/>
      <c r="H286" s="244"/>
      <c r="I286" s="244"/>
      <c r="J286" s="244"/>
      <c r="K286" s="241"/>
      <c r="L286" s="244"/>
      <c r="M286" s="241"/>
      <c r="N286" s="241"/>
      <c r="O286" s="241"/>
      <c r="P286" s="241"/>
      <c r="Q286" s="241"/>
      <c r="R286" s="241"/>
      <c r="S286" s="241"/>
      <c r="T286" s="241"/>
      <c r="U286" s="241"/>
    </row>
    <row r="287" spans="2:21">
      <c r="B287" s="237"/>
      <c r="D287" s="241"/>
      <c r="E287" s="241"/>
      <c r="F287" s="241"/>
      <c r="G287" s="244"/>
      <c r="H287" s="244"/>
      <c r="I287" s="244"/>
      <c r="J287" s="244"/>
      <c r="K287" s="241"/>
      <c r="L287" s="244"/>
      <c r="M287" s="241"/>
      <c r="N287" s="241"/>
      <c r="O287" s="241"/>
      <c r="P287" s="241"/>
      <c r="Q287" s="241"/>
      <c r="R287" s="241"/>
      <c r="S287" s="241"/>
      <c r="T287" s="241"/>
      <c r="U287" s="241"/>
    </row>
    <row r="288" spans="2:21" ht="3.75" customHeight="1">
      <c r="B288" s="237"/>
      <c r="D288" s="241"/>
      <c r="E288" s="241"/>
      <c r="F288" s="241"/>
      <c r="G288" s="244"/>
      <c r="H288" s="244"/>
      <c r="I288" s="244"/>
      <c r="J288" s="244"/>
      <c r="K288" s="241"/>
      <c r="L288" s="244"/>
      <c r="M288" s="241"/>
      <c r="N288" s="241"/>
      <c r="O288" s="241"/>
      <c r="P288" s="241"/>
      <c r="Q288" s="241"/>
      <c r="R288" s="241"/>
      <c r="S288" s="241"/>
      <c r="T288" s="241"/>
      <c r="U288" s="241"/>
    </row>
    <row r="289" spans="2:21">
      <c r="B289" s="361" t="s">
        <v>148</v>
      </c>
      <c r="C289" s="246"/>
      <c r="D289" s="241" t="s">
        <v>477</v>
      </c>
      <c r="E289" s="241"/>
      <c r="F289" s="241"/>
      <c r="G289" s="244"/>
      <c r="H289" s="244"/>
      <c r="I289" s="244"/>
      <c r="J289" s="244"/>
      <c r="K289" s="241"/>
      <c r="L289" s="244"/>
      <c r="M289" s="241"/>
      <c r="N289" s="241"/>
      <c r="O289" s="241"/>
      <c r="P289" s="241"/>
      <c r="Q289" s="241"/>
      <c r="R289" s="241"/>
      <c r="S289" s="241"/>
      <c r="T289" s="241"/>
      <c r="U289" s="241"/>
    </row>
    <row r="290" spans="2:21">
      <c r="B290" s="361"/>
      <c r="C290" s="308"/>
      <c r="D290" s="241" t="s">
        <v>369</v>
      </c>
      <c r="E290" s="241"/>
      <c r="F290" s="241"/>
      <c r="G290" s="241"/>
      <c r="H290" s="241"/>
      <c r="I290" s="241"/>
      <c r="J290" s="241"/>
      <c r="K290" s="241"/>
      <c r="L290" s="241"/>
      <c r="M290" s="241"/>
      <c r="N290" s="241"/>
      <c r="O290" s="241"/>
      <c r="P290" s="241"/>
      <c r="Q290" s="241"/>
      <c r="R290" s="241"/>
      <c r="S290" s="241"/>
      <c r="T290" s="241"/>
      <c r="U290" s="241"/>
    </row>
    <row r="291" spans="2:21">
      <c r="D291" s="237" t="s">
        <v>370</v>
      </c>
      <c r="E291" s="267"/>
      <c r="F291" s="267"/>
      <c r="G291" s="241"/>
      <c r="H291" s="241"/>
      <c r="I291" s="241"/>
      <c r="J291" s="241"/>
      <c r="K291" s="241"/>
      <c r="L291" s="241"/>
      <c r="M291" s="241"/>
      <c r="N291" s="241"/>
      <c r="O291" s="241"/>
      <c r="P291" s="241"/>
      <c r="Q291" s="241"/>
      <c r="R291" s="241"/>
      <c r="S291" s="241"/>
      <c r="T291" s="241"/>
      <c r="U291" s="241"/>
    </row>
    <row r="292" spans="2:21">
      <c r="D292" s="241" t="s">
        <v>478</v>
      </c>
      <c r="E292" s="241"/>
      <c r="F292" s="241"/>
      <c r="G292" s="241"/>
      <c r="H292" s="241"/>
      <c r="I292" s="241"/>
      <c r="J292" s="241"/>
      <c r="K292" s="241"/>
      <c r="L292" s="241"/>
      <c r="M292" s="241"/>
      <c r="N292" s="241"/>
      <c r="O292" s="241"/>
      <c r="P292" s="241"/>
      <c r="Q292" s="241"/>
      <c r="R292" s="241"/>
      <c r="S292" s="241"/>
      <c r="T292" s="241"/>
      <c r="U292" s="241"/>
    </row>
    <row r="293" spans="2:21">
      <c r="B293" s="245"/>
      <c r="C293" s="246"/>
      <c r="D293" s="241" t="s">
        <v>479</v>
      </c>
      <c r="E293" s="241"/>
      <c r="F293" s="241"/>
      <c r="G293" s="241"/>
      <c r="H293" s="241"/>
      <c r="I293" s="241"/>
      <c r="J293" s="241"/>
      <c r="K293" s="241"/>
      <c r="L293" s="241"/>
      <c r="M293" s="241"/>
      <c r="N293" s="241"/>
      <c r="O293" s="241"/>
      <c r="P293" s="241"/>
      <c r="Q293" s="241"/>
      <c r="R293" s="241"/>
      <c r="S293" s="241"/>
      <c r="T293" s="241"/>
      <c r="U293" s="241"/>
    </row>
    <row r="294" spans="2:21">
      <c r="B294" s="245"/>
      <c r="C294" s="246"/>
      <c r="D294" s="241" t="s">
        <v>371</v>
      </c>
      <c r="E294" s="241"/>
      <c r="F294" s="241"/>
      <c r="G294" s="241"/>
      <c r="H294" s="241"/>
      <c r="I294" s="241"/>
      <c r="J294" s="241"/>
      <c r="K294" s="241"/>
      <c r="L294" s="241"/>
      <c r="M294" s="241"/>
      <c r="N294" s="241"/>
      <c r="O294" s="241"/>
      <c r="P294" s="241"/>
      <c r="Q294" s="241"/>
      <c r="R294" s="241"/>
      <c r="S294" s="241"/>
      <c r="T294" s="241"/>
      <c r="U294" s="241"/>
    </row>
    <row r="295" spans="2:21">
      <c r="B295" s="245"/>
      <c r="C295" s="246"/>
      <c r="D295" s="241" t="s">
        <v>372</v>
      </c>
      <c r="E295" s="241"/>
      <c r="F295" s="241"/>
      <c r="G295" s="241"/>
      <c r="H295" s="241"/>
      <c r="I295" s="241"/>
      <c r="J295" s="241"/>
      <c r="K295" s="241"/>
      <c r="L295" s="241"/>
      <c r="M295" s="241"/>
      <c r="N295" s="241"/>
      <c r="O295" s="241"/>
      <c r="P295" s="241"/>
      <c r="Q295" s="241"/>
      <c r="R295" s="241"/>
      <c r="S295" s="241"/>
      <c r="T295" s="241"/>
      <c r="U295" s="241"/>
    </row>
    <row r="296" spans="2:21" ht="45" customHeight="1">
      <c r="B296" s="245"/>
      <c r="C296" s="246"/>
      <c r="D296" s="1226" t="s">
        <v>575</v>
      </c>
      <c r="E296" s="1226"/>
      <c r="F296" s="1226"/>
      <c r="G296" s="1226"/>
      <c r="H296" s="1226"/>
      <c r="I296" s="1226"/>
      <c r="J296" s="1226"/>
      <c r="K296" s="1226"/>
      <c r="L296" s="1226"/>
      <c r="M296" s="241"/>
      <c r="N296" s="241"/>
      <c r="O296" s="241"/>
      <c r="P296" s="241"/>
      <c r="Q296" s="241"/>
      <c r="R296" s="241"/>
      <c r="S296" s="241"/>
      <c r="T296" s="241"/>
      <c r="U296" s="241"/>
    </row>
    <row r="297" spans="2:21">
      <c r="B297" s="245"/>
      <c r="C297" s="246"/>
      <c r="D297" s="241" t="s">
        <v>487</v>
      </c>
      <c r="E297" s="241"/>
      <c r="F297" s="241"/>
      <c r="G297" s="241"/>
      <c r="H297" s="241"/>
      <c r="I297" s="241"/>
      <c r="J297" s="241"/>
      <c r="K297" s="241"/>
      <c r="L297" s="241"/>
      <c r="M297" s="241"/>
      <c r="N297" s="241"/>
      <c r="O297" s="241"/>
      <c r="P297" s="241"/>
      <c r="Q297" s="241"/>
      <c r="R297" s="241"/>
      <c r="S297" s="241"/>
      <c r="T297" s="241"/>
      <c r="U297" s="241"/>
    </row>
    <row r="298" spans="2:21">
      <c r="B298" s="245"/>
      <c r="C298" s="246"/>
      <c r="D298" s="11"/>
      <c r="E298" s="241"/>
      <c r="F298" s="241"/>
      <c r="G298" s="241"/>
      <c r="H298" s="241"/>
      <c r="I298" s="241"/>
      <c r="J298" s="241"/>
      <c r="K298" s="241"/>
      <c r="L298" s="241"/>
      <c r="M298" s="241"/>
      <c r="N298" s="241"/>
      <c r="O298" s="241"/>
      <c r="P298" s="241"/>
      <c r="Q298" s="241"/>
      <c r="R298" s="241"/>
      <c r="S298" s="241"/>
      <c r="T298" s="241"/>
      <c r="U298" s="241"/>
    </row>
    <row r="299" spans="2:21" ht="15" customHeight="1">
      <c r="B299" s="245" t="s">
        <v>149</v>
      </c>
      <c r="C299" s="246"/>
      <c r="D299" s="1227" t="s">
        <v>594</v>
      </c>
      <c r="E299" s="1228"/>
      <c r="F299" s="1228"/>
      <c r="G299" s="1228"/>
      <c r="H299" s="1228"/>
      <c r="I299" s="1228"/>
      <c r="J299" s="1228"/>
      <c r="K299" s="1228"/>
      <c r="L299" s="241"/>
      <c r="M299" s="241"/>
      <c r="N299" s="241"/>
      <c r="O299" s="241"/>
      <c r="P299" s="241"/>
      <c r="Q299" s="241"/>
      <c r="R299" s="241"/>
      <c r="S299" s="241"/>
      <c r="T299" s="241"/>
      <c r="U299" s="241"/>
    </row>
    <row r="300" spans="2:21">
      <c r="B300" s="245"/>
      <c r="C300" s="246"/>
      <c r="D300" s="1228"/>
      <c r="E300" s="1228"/>
      <c r="F300" s="1228"/>
      <c r="G300" s="1228"/>
      <c r="H300" s="1228"/>
      <c r="I300" s="1228"/>
      <c r="J300" s="1228"/>
      <c r="K300" s="1228"/>
      <c r="L300" s="241"/>
      <c r="M300" s="241"/>
      <c r="N300" s="241"/>
      <c r="O300" s="241"/>
      <c r="P300" s="241"/>
      <c r="Q300" s="241"/>
      <c r="R300" s="241"/>
      <c r="S300" s="241"/>
      <c r="T300" s="241"/>
      <c r="U300" s="241"/>
    </row>
    <row r="301" spans="2:21">
      <c r="E301" s="241"/>
      <c r="F301" s="241"/>
      <c r="G301" s="241"/>
      <c r="H301" s="241"/>
      <c r="I301" s="241"/>
      <c r="J301" s="241"/>
      <c r="K301" s="241"/>
      <c r="L301" s="241"/>
      <c r="M301" s="241"/>
      <c r="N301" s="241"/>
      <c r="O301" s="241"/>
      <c r="P301" s="241"/>
      <c r="Q301" s="241"/>
      <c r="R301" s="241"/>
      <c r="S301" s="241"/>
      <c r="T301" s="241"/>
      <c r="U301" s="241"/>
    </row>
    <row r="302" spans="2:21">
      <c r="B302" s="245" t="s">
        <v>150</v>
      </c>
      <c r="C302" s="246"/>
      <c r="D302" s="11" t="s">
        <v>857</v>
      </c>
      <c r="E302" s="241"/>
      <c r="F302" s="241"/>
      <c r="G302" s="241"/>
      <c r="H302" s="241"/>
      <c r="I302" s="241"/>
      <c r="J302" s="241"/>
      <c r="K302" s="241"/>
      <c r="L302" s="241"/>
      <c r="M302" s="241"/>
      <c r="N302" s="241"/>
      <c r="O302" s="241"/>
      <c r="P302" s="241"/>
      <c r="Q302" s="241"/>
      <c r="R302" s="241"/>
      <c r="S302" s="241"/>
      <c r="T302" s="241"/>
      <c r="U302" s="241"/>
    </row>
    <row r="303" spans="2:21">
      <c r="B303" s="245"/>
      <c r="C303" s="246"/>
      <c r="D303" s="11"/>
      <c r="E303" s="241"/>
      <c r="F303" s="241"/>
      <c r="G303" s="241"/>
      <c r="H303" s="241"/>
      <c r="I303" s="241"/>
      <c r="J303" s="241"/>
      <c r="K303" s="241"/>
      <c r="L303" s="241"/>
      <c r="M303" s="241"/>
      <c r="N303" s="241"/>
      <c r="O303" s="241"/>
      <c r="P303" s="241"/>
      <c r="Q303" s="241"/>
      <c r="R303" s="241"/>
      <c r="S303" s="241"/>
      <c r="T303" s="241"/>
      <c r="U303" s="241"/>
    </row>
    <row r="304" spans="2:21">
      <c r="B304" s="245" t="s">
        <v>151</v>
      </c>
      <c r="C304" s="246"/>
      <c r="D304" s="1226" t="s">
        <v>577</v>
      </c>
      <c r="E304" s="1226"/>
      <c r="F304" s="1226"/>
      <c r="G304" s="1226"/>
      <c r="H304" s="1226"/>
      <c r="I304" s="1226"/>
      <c r="J304" s="1226"/>
      <c r="K304" s="1226"/>
      <c r="L304" s="1226"/>
      <c r="M304" s="241"/>
      <c r="N304" s="241"/>
      <c r="O304" s="241"/>
      <c r="P304" s="241"/>
      <c r="Q304" s="241"/>
      <c r="R304" s="241"/>
      <c r="S304" s="241"/>
      <c r="T304" s="241"/>
      <c r="U304" s="241"/>
    </row>
    <row r="305" spans="2:21">
      <c r="B305" s="245"/>
      <c r="C305" s="246"/>
      <c r="D305" s="1226"/>
      <c r="E305" s="1226"/>
      <c r="F305" s="1226"/>
      <c r="G305" s="1226"/>
      <c r="H305" s="1226"/>
      <c r="I305" s="1226"/>
      <c r="J305" s="1226"/>
      <c r="K305" s="1226"/>
      <c r="L305" s="1226"/>
      <c r="M305" s="241"/>
      <c r="N305" s="241"/>
      <c r="O305" s="241"/>
      <c r="P305" s="241"/>
      <c r="Q305" s="241"/>
      <c r="R305" s="241"/>
      <c r="S305" s="241"/>
      <c r="T305" s="241"/>
      <c r="U305" s="241"/>
    </row>
    <row r="306" spans="2:21">
      <c r="B306" s="245"/>
      <c r="C306" s="246"/>
      <c r="D306" s="241" t="s">
        <v>578</v>
      </c>
      <c r="E306" s="241"/>
      <c r="F306" s="241"/>
      <c r="G306" s="241"/>
      <c r="H306" s="241"/>
      <c r="I306" s="241"/>
      <c r="J306" s="241"/>
      <c r="K306" s="241"/>
      <c r="L306" s="241"/>
      <c r="M306" s="241"/>
      <c r="N306" s="241"/>
      <c r="O306" s="241"/>
      <c r="P306" s="241"/>
      <c r="Q306" s="241"/>
      <c r="R306" s="241"/>
      <c r="S306" s="241"/>
      <c r="T306" s="241"/>
      <c r="U306" s="241"/>
    </row>
    <row r="307" spans="2:21">
      <c r="B307" s="245"/>
      <c r="C307" s="246"/>
      <c r="D307" s="241" t="s">
        <v>579</v>
      </c>
      <c r="E307" s="241"/>
      <c r="F307" s="241"/>
      <c r="G307" s="241"/>
      <c r="H307" s="241"/>
      <c r="I307" s="241"/>
      <c r="J307" s="241"/>
      <c r="K307" s="241"/>
      <c r="L307" s="241"/>
      <c r="M307" s="241"/>
      <c r="N307" s="241"/>
      <c r="O307" s="241"/>
      <c r="P307" s="241"/>
      <c r="Q307" s="241"/>
      <c r="R307" s="241"/>
      <c r="S307" s="241"/>
      <c r="T307" s="241"/>
      <c r="U307" s="241"/>
    </row>
    <row r="308" spans="2:21" ht="30" customHeight="1">
      <c r="B308" s="245"/>
      <c r="C308" s="246"/>
      <c r="D308" s="1226" t="s">
        <v>576</v>
      </c>
      <c r="E308" s="1226"/>
      <c r="F308" s="1226"/>
      <c r="G308" s="1226"/>
      <c r="H308" s="1226"/>
      <c r="I308" s="1226"/>
      <c r="J308" s="1226"/>
      <c r="K308" s="1226"/>
      <c r="L308" s="1226"/>
      <c r="M308" s="241"/>
      <c r="N308" s="241"/>
      <c r="O308" s="241"/>
      <c r="P308" s="241"/>
      <c r="Q308" s="241"/>
      <c r="R308" s="241"/>
      <c r="S308" s="241"/>
      <c r="T308" s="241"/>
      <c r="U308" s="241"/>
    </row>
    <row r="309" spans="2:21" ht="21.75" customHeight="1">
      <c r="B309" s="245" t="s">
        <v>152</v>
      </c>
      <c r="C309" s="241"/>
      <c r="D309" s="241"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3"/>
      <c r="F309" s="3"/>
      <c r="G309" s="3"/>
      <c r="H309" s="3"/>
      <c r="I309" s="3"/>
      <c r="J309" s="3"/>
      <c r="K309" s="3"/>
      <c r="L309" s="3"/>
      <c r="M309" s="241"/>
      <c r="N309" s="241"/>
      <c r="O309" s="241"/>
      <c r="P309" s="241"/>
      <c r="Q309" s="241"/>
      <c r="R309" s="241"/>
      <c r="S309" s="241"/>
      <c r="T309" s="241"/>
      <c r="U309" s="241"/>
    </row>
    <row r="310" spans="2:21">
      <c r="B310" s="245"/>
      <c r="C310" s="241"/>
      <c r="D310" s="362"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67"/>
      <c r="F310" s="67"/>
      <c r="G310" s="67"/>
      <c r="H310" s="67"/>
      <c r="I310" s="67"/>
      <c r="J310" s="67"/>
      <c r="K310" s="67"/>
      <c r="L310" s="67"/>
      <c r="M310" s="241"/>
      <c r="N310" s="241"/>
      <c r="O310" s="241"/>
      <c r="P310" s="241"/>
      <c r="Q310" s="241"/>
      <c r="R310" s="241"/>
      <c r="S310" s="241"/>
      <c r="T310" s="241"/>
      <c r="U310" s="241"/>
    </row>
    <row r="311" spans="2:21">
      <c r="B311" s="245"/>
      <c r="C311" s="241"/>
      <c r="D311" s="363" t="str">
        <f>+"2)  Costs of Transmission of Electricity by Others, as described in Note H."</f>
        <v>2)  Costs of Transmission of Electricity by Others, as described in Note H.</v>
      </c>
      <c r="E311" s="3"/>
      <c r="F311" s="3"/>
      <c r="G311" s="3"/>
      <c r="H311" s="3"/>
      <c r="I311" s="3"/>
      <c r="J311" s="3"/>
      <c r="K311" s="3"/>
      <c r="L311" s="3"/>
      <c r="M311" s="241"/>
      <c r="N311" s="241"/>
      <c r="O311" s="241"/>
      <c r="P311" s="241"/>
      <c r="Q311" s="241"/>
      <c r="R311" s="241"/>
      <c r="S311" s="241"/>
      <c r="T311" s="241"/>
      <c r="U311" s="241"/>
    </row>
    <row r="312" spans="2:21">
      <c r="B312" s="245"/>
      <c r="C312" s="241"/>
      <c r="D312" s="362" t="str">
        <f>+"3)  The impact of state regulatory deferrals and amortizations, as shown on line  "&amp;B154&amp;""</f>
        <v>3)  The impact of state regulatory deferrals and amortizations, as shown on line  77</v>
      </c>
      <c r="E312" s="67"/>
      <c r="F312" s="67"/>
      <c r="G312" s="67"/>
      <c r="H312" s="67"/>
      <c r="I312" s="67"/>
      <c r="J312" s="67"/>
      <c r="K312" s="67"/>
      <c r="L312" s="67"/>
      <c r="M312" s="241"/>
      <c r="N312" s="241"/>
      <c r="O312" s="241"/>
      <c r="P312" s="241"/>
      <c r="Q312" s="241"/>
      <c r="R312" s="241"/>
      <c r="S312" s="241"/>
      <c r="T312" s="241"/>
      <c r="U312" s="241"/>
    </row>
    <row r="313" spans="2:21">
      <c r="B313" s="245"/>
      <c r="C313" s="67"/>
      <c r="D313" s="363" t="str">
        <f>"4) All A&amp;G Expenses, as shown on line "&amp;B172&amp;"."</f>
        <v>4) All A&amp;G Expenses, as shown on line 93.</v>
      </c>
      <c r="E313" s="3"/>
      <c r="F313" s="3"/>
      <c r="G313" s="3"/>
      <c r="H313" s="3"/>
      <c r="I313" s="3"/>
      <c r="J313" s="3"/>
      <c r="K313" s="3"/>
      <c r="L313" s="3"/>
      <c r="M313" s="241"/>
      <c r="N313" s="241"/>
      <c r="O313" s="241"/>
      <c r="P313" s="241"/>
      <c r="Q313" s="241"/>
      <c r="R313" s="241"/>
      <c r="S313" s="241"/>
      <c r="T313" s="241"/>
      <c r="U313" s="241"/>
    </row>
    <row r="314" spans="2:21">
      <c r="B314" s="245"/>
      <c r="C314" s="246"/>
      <c r="D314" s="362"/>
      <c r="E314" s="362"/>
      <c r="F314" s="362"/>
      <c r="G314" s="362"/>
      <c r="H314" s="362"/>
      <c r="I314" s="362"/>
      <c r="J314" s="362"/>
      <c r="K314" s="362"/>
      <c r="L314" s="362"/>
      <c r="M314" s="241"/>
      <c r="N314" s="241"/>
      <c r="O314" s="241"/>
      <c r="P314" s="241"/>
      <c r="Q314" s="241"/>
      <c r="R314" s="241"/>
      <c r="S314" s="241"/>
      <c r="T314" s="241"/>
      <c r="U314" s="241"/>
    </row>
    <row r="315" spans="2:21">
      <c r="B315" s="361" t="s">
        <v>153</v>
      </c>
      <c r="C315" s="308"/>
      <c r="D315" s="364"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64"/>
      <c r="F315" s="364"/>
      <c r="G315" s="364"/>
      <c r="H315" s="364"/>
      <c r="I315" s="364"/>
      <c r="J315" s="364"/>
      <c r="K315" s="364"/>
      <c r="L315" s="364"/>
      <c r="M315" s="241"/>
      <c r="N315" s="241"/>
      <c r="O315" s="241"/>
      <c r="P315" s="241"/>
      <c r="Q315" s="241"/>
      <c r="R315" s="241"/>
      <c r="S315" s="241"/>
      <c r="T315" s="241"/>
      <c r="U315" s="241"/>
    </row>
    <row r="316" spans="2:21">
      <c r="D316" s="364" t="s">
        <v>218</v>
      </c>
      <c r="E316" s="364"/>
      <c r="F316" s="364"/>
      <c r="G316" s="364"/>
      <c r="H316" s="364"/>
      <c r="I316" s="364"/>
      <c r="J316" s="364"/>
      <c r="K316" s="364"/>
      <c r="L316" s="364"/>
      <c r="M316" s="241"/>
      <c r="N316" s="241"/>
      <c r="O316" s="241"/>
      <c r="P316" s="241"/>
      <c r="Q316" s="241"/>
      <c r="R316" s="241"/>
      <c r="S316" s="241"/>
      <c r="T316" s="241"/>
      <c r="U316" s="241"/>
    </row>
    <row r="317" spans="2:21">
      <c r="D317" s="364" t="str">
        <f>"expense is included on line "&amp;B215&amp;"."</f>
        <v>expense is included on line 127.</v>
      </c>
      <c r="E317" s="364"/>
      <c r="F317" s="364"/>
      <c r="G317" s="364"/>
      <c r="H317" s="364"/>
      <c r="I317" s="364"/>
      <c r="J317" s="364"/>
      <c r="K317" s="364"/>
      <c r="L317" s="364"/>
      <c r="M317" s="241"/>
      <c r="N317" s="241"/>
      <c r="O317" s="241"/>
      <c r="P317" s="241"/>
      <c r="Q317" s="241"/>
      <c r="R317" s="241"/>
      <c r="S317" s="241"/>
      <c r="T317" s="241"/>
      <c r="U317" s="241"/>
    </row>
    <row r="318" spans="2:21">
      <c r="D318" s="364"/>
      <c r="E318" s="364"/>
      <c r="F318" s="364"/>
      <c r="G318" s="364"/>
      <c r="H318" s="364"/>
      <c r="I318" s="364"/>
      <c r="J318" s="364"/>
      <c r="K318" s="364"/>
      <c r="L318" s="364"/>
      <c r="N318" s="241"/>
      <c r="O318" s="241"/>
      <c r="P318" s="241"/>
      <c r="Q318" s="241"/>
      <c r="R318" s="241"/>
      <c r="S318" s="241"/>
      <c r="T318" s="241"/>
      <c r="U318" s="241"/>
    </row>
    <row r="319" spans="2:21">
      <c r="B319" s="361" t="s">
        <v>154</v>
      </c>
      <c r="D319" s="1236"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36"/>
      <c r="F319" s="1236"/>
      <c r="G319" s="1236"/>
      <c r="H319" s="1236"/>
      <c r="I319" s="1236"/>
      <c r="J319" s="1236"/>
      <c r="K319" s="1236"/>
      <c r="L319" s="364"/>
      <c r="N319" s="241"/>
      <c r="O319" s="241"/>
      <c r="P319" s="241"/>
      <c r="Q319" s="241"/>
      <c r="R319" s="241"/>
      <c r="S319" s="241"/>
      <c r="T319" s="241"/>
      <c r="U319" s="241"/>
    </row>
    <row r="320" spans="2:21">
      <c r="B320" s="361"/>
      <c r="D320" s="1236"/>
      <c r="E320" s="1236"/>
      <c r="F320" s="1236"/>
      <c r="G320" s="1236"/>
      <c r="H320" s="1236"/>
      <c r="I320" s="1236"/>
      <c r="J320" s="1236"/>
      <c r="K320" s="1236"/>
      <c r="L320" s="364"/>
      <c r="N320" s="241"/>
      <c r="O320" s="241"/>
      <c r="P320" s="241"/>
      <c r="Q320" s="241"/>
      <c r="R320" s="241"/>
      <c r="S320" s="241"/>
      <c r="T320" s="241"/>
      <c r="U320" s="241"/>
    </row>
    <row r="321" spans="2:21">
      <c r="B321" s="361"/>
      <c r="D321" s="1236"/>
      <c r="E321" s="1236"/>
      <c r="F321" s="1236"/>
      <c r="G321" s="1236"/>
      <c r="H321" s="1236"/>
      <c r="I321" s="1236"/>
      <c r="J321" s="1236"/>
      <c r="K321" s="1236"/>
      <c r="L321" s="364"/>
      <c r="N321" s="241"/>
      <c r="O321" s="241"/>
      <c r="P321" s="241"/>
      <c r="Q321" s="241"/>
      <c r="R321" s="241"/>
      <c r="S321" s="241"/>
      <c r="T321" s="241"/>
      <c r="U321" s="241"/>
    </row>
    <row r="322" spans="2:21">
      <c r="B322" s="361"/>
      <c r="D322" s="362"/>
      <c r="E322" s="364"/>
      <c r="F322" s="364"/>
      <c r="G322" s="364"/>
      <c r="H322" s="364"/>
      <c r="I322" s="364"/>
      <c r="J322" s="364"/>
      <c r="K322" s="364"/>
      <c r="L322" s="364"/>
      <c r="N322" s="241"/>
      <c r="O322" s="241"/>
      <c r="P322" s="241"/>
      <c r="Q322" s="241"/>
      <c r="R322" s="241"/>
      <c r="S322" s="241"/>
      <c r="T322" s="241"/>
      <c r="U322" s="241"/>
    </row>
    <row r="323" spans="2:21">
      <c r="B323" s="361" t="s">
        <v>155</v>
      </c>
      <c r="D323" s="1230"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30"/>
      <c r="F323" s="1230"/>
      <c r="G323" s="1230"/>
      <c r="H323" s="1230"/>
      <c r="I323" s="1230"/>
      <c r="J323" s="1230"/>
      <c r="K323" s="1230"/>
      <c r="L323" s="364"/>
      <c r="N323" s="241"/>
      <c r="O323" s="241"/>
      <c r="P323" s="241"/>
      <c r="Q323" s="241"/>
      <c r="R323" s="241"/>
      <c r="S323" s="241"/>
      <c r="T323" s="241"/>
      <c r="U323" s="241"/>
    </row>
    <row r="324" spans="2:21">
      <c r="B324" s="361"/>
      <c r="D324" s="1230"/>
      <c r="E324" s="1230"/>
      <c r="F324" s="1230"/>
      <c r="G324" s="1230"/>
      <c r="H324" s="1230"/>
      <c r="I324" s="1230"/>
      <c r="J324" s="1230"/>
      <c r="K324" s="1230"/>
      <c r="L324" s="364"/>
      <c r="N324" s="241"/>
      <c r="O324" s="241"/>
      <c r="P324" s="241"/>
      <c r="Q324" s="241"/>
      <c r="R324" s="241"/>
      <c r="S324" s="241"/>
      <c r="T324" s="241"/>
      <c r="U324" s="241"/>
    </row>
    <row r="325" spans="2:21">
      <c r="B325" s="361"/>
      <c r="D325" s="1231"/>
      <c r="E325" s="1231"/>
      <c r="F325" s="1231"/>
      <c r="G325" s="1231"/>
      <c r="H325" s="1231"/>
      <c r="I325" s="1231"/>
      <c r="J325" s="1231"/>
      <c r="K325" s="1231"/>
      <c r="L325" s="364"/>
      <c r="N325" s="241"/>
      <c r="O325" s="241"/>
      <c r="P325" s="241"/>
      <c r="Q325" s="241"/>
      <c r="R325" s="241"/>
      <c r="S325" s="241"/>
      <c r="T325" s="241"/>
      <c r="U325" s="241"/>
    </row>
    <row r="326" spans="2:21">
      <c r="B326" s="361"/>
      <c r="D326" s="1240"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40"/>
      <c r="F326" s="1240"/>
      <c r="G326" s="1240"/>
      <c r="H326" s="1240"/>
      <c r="I326" s="1240"/>
      <c r="J326" s="1240"/>
      <c r="K326" s="365"/>
      <c r="L326" s="364"/>
      <c r="N326" s="241"/>
      <c r="O326" s="241"/>
      <c r="P326" s="241"/>
      <c r="Q326" s="241"/>
      <c r="R326" s="241"/>
      <c r="S326" s="241"/>
      <c r="T326" s="241"/>
      <c r="U326" s="241"/>
    </row>
    <row r="327" spans="2:21">
      <c r="B327" s="361"/>
      <c r="D327" s="1240"/>
      <c r="E327" s="1240"/>
      <c r="F327" s="1240"/>
      <c r="G327" s="1240"/>
      <c r="H327" s="1240"/>
      <c r="I327" s="1240"/>
      <c r="J327" s="1240"/>
      <c r="K327" s="365"/>
      <c r="L327" s="364"/>
      <c r="N327" s="241"/>
      <c r="O327" s="241"/>
      <c r="P327" s="241"/>
      <c r="Q327" s="241"/>
      <c r="R327" s="241"/>
      <c r="S327" s="241"/>
      <c r="T327" s="241"/>
      <c r="U327" s="241"/>
    </row>
    <row r="328" spans="2:21">
      <c r="B328" s="361"/>
      <c r="D328" s="364" t="str">
        <f>"The company records referenced on line "&amp;B175&amp;" is the "&amp;F9&amp;" general ledger."</f>
        <v>The company records referenced on line 95 is the WHEELING POWER COMPANY general ledger.</v>
      </c>
      <c r="E328" s="366"/>
      <c r="F328" s="366"/>
      <c r="G328" s="366"/>
      <c r="H328" s="366"/>
      <c r="I328" s="366"/>
      <c r="J328" s="366"/>
      <c r="K328" s="366"/>
      <c r="L328" s="364"/>
      <c r="N328" s="241"/>
      <c r="O328" s="241"/>
      <c r="P328" s="241"/>
      <c r="Q328" s="241"/>
      <c r="R328" s="241"/>
      <c r="S328" s="241"/>
      <c r="T328" s="241"/>
      <c r="U328" s="241"/>
    </row>
    <row r="329" spans="2:21">
      <c r="B329" s="361"/>
      <c r="D329" s="364"/>
      <c r="E329" s="366"/>
      <c r="F329" s="366"/>
      <c r="G329" s="366"/>
      <c r="H329" s="366"/>
      <c r="I329" s="366"/>
      <c r="J329" s="366"/>
      <c r="K329" s="366"/>
      <c r="L329" s="364"/>
      <c r="N329" s="241"/>
      <c r="O329" s="241"/>
      <c r="P329" s="241"/>
      <c r="Q329" s="241"/>
      <c r="R329" s="241"/>
      <c r="S329" s="241"/>
      <c r="T329" s="241"/>
      <c r="U329" s="241"/>
    </row>
    <row r="330" spans="2:21">
      <c r="B330" s="361" t="s">
        <v>156</v>
      </c>
      <c r="D330" s="237" t="s">
        <v>580</v>
      </c>
      <c r="E330" s="67"/>
      <c r="F330" s="67"/>
      <c r="G330" s="67"/>
      <c r="H330" s="67"/>
      <c r="I330" s="67"/>
      <c r="J330" s="67"/>
      <c r="K330" s="67"/>
      <c r="L330" s="367"/>
      <c r="N330" s="241"/>
      <c r="O330" s="241"/>
      <c r="P330" s="241"/>
      <c r="Q330" s="241"/>
      <c r="R330" s="241"/>
      <c r="S330" s="241"/>
      <c r="T330" s="241"/>
      <c r="U330" s="241"/>
    </row>
    <row r="331" spans="2:21">
      <c r="B331" s="361"/>
      <c r="D331" s="367"/>
      <c r="E331" s="367"/>
      <c r="F331" s="367"/>
      <c r="G331" s="367"/>
      <c r="H331" s="367"/>
      <c r="I331" s="367"/>
      <c r="J331" s="367"/>
      <c r="K331" s="367"/>
      <c r="L331" s="367"/>
      <c r="N331" s="241"/>
      <c r="O331" s="241"/>
      <c r="P331" s="241"/>
      <c r="Q331" s="241"/>
      <c r="R331" s="241"/>
      <c r="S331" s="241"/>
      <c r="T331" s="241"/>
      <c r="U331" s="241"/>
    </row>
    <row r="332" spans="2:21">
      <c r="B332" s="361" t="s">
        <v>157</v>
      </c>
      <c r="D332" s="1234" t="s">
        <v>48</v>
      </c>
      <c r="E332" s="1228"/>
      <c r="F332" s="1228"/>
      <c r="G332" s="1228"/>
      <c r="H332" s="1228"/>
      <c r="I332" s="1228"/>
      <c r="J332" s="1228"/>
      <c r="K332" s="364"/>
      <c r="L332" s="364"/>
      <c r="N332" s="241"/>
      <c r="O332" s="241"/>
      <c r="P332" s="241"/>
      <c r="Q332" s="241"/>
      <c r="R332" s="241"/>
      <c r="S332" s="241"/>
      <c r="T332" s="241"/>
      <c r="U332" s="241"/>
    </row>
    <row r="333" spans="2:21">
      <c r="B333" s="361"/>
      <c r="D333" s="1235"/>
      <c r="E333" s="1235"/>
      <c r="F333" s="1235"/>
      <c r="G333" s="1235"/>
      <c r="H333" s="1235"/>
      <c r="I333" s="1235"/>
      <c r="J333" s="1235"/>
      <c r="K333" s="367"/>
      <c r="L333" s="367"/>
      <c r="N333" s="241"/>
      <c r="O333" s="241"/>
      <c r="P333" s="241"/>
      <c r="Q333" s="241"/>
      <c r="R333" s="241"/>
      <c r="S333" s="241"/>
      <c r="T333" s="241"/>
      <c r="U333" s="241"/>
    </row>
    <row r="334" spans="2:21">
      <c r="B334" s="361"/>
      <c r="D334" s="1228"/>
      <c r="E334" s="1228"/>
      <c r="F334" s="1228"/>
      <c r="G334" s="1228"/>
      <c r="H334" s="1228"/>
      <c r="I334" s="1228"/>
      <c r="J334" s="1228"/>
      <c r="K334" s="364"/>
      <c r="L334" s="364"/>
      <c r="N334" s="241"/>
      <c r="O334" s="241"/>
      <c r="P334" s="241"/>
      <c r="Q334" s="241"/>
      <c r="R334" s="241"/>
      <c r="S334" s="241"/>
      <c r="T334" s="241"/>
      <c r="U334" s="241"/>
    </row>
    <row r="335" spans="2:21">
      <c r="B335" s="361"/>
      <c r="D335" s="364"/>
      <c r="E335" s="364"/>
      <c r="F335" s="364"/>
      <c r="G335" s="364"/>
      <c r="H335" s="364"/>
      <c r="I335" s="364"/>
      <c r="J335" s="364"/>
      <c r="K335" s="364"/>
      <c r="L335" s="364"/>
      <c r="N335" s="241"/>
      <c r="O335" s="241"/>
      <c r="P335" s="241"/>
      <c r="Q335" s="241"/>
      <c r="R335" s="241"/>
      <c r="S335" s="241"/>
      <c r="T335" s="241"/>
      <c r="U335" s="241"/>
    </row>
    <row r="336" spans="2:21" ht="15.75">
      <c r="B336" s="804" t="s">
        <v>158</v>
      </c>
      <c r="C336" s="805"/>
      <c r="D336" s="1238" t="s">
        <v>852</v>
      </c>
      <c r="E336" s="1239"/>
      <c r="F336" s="1239"/>
      <c r="G336" s="1239"/>
      <c r="H336" s="1239"/>
      <c r="I336" s="1239"/>
      <c r="J336" s="1239"/>
      <c r="K336" s="1239"/>
      <c r="L336" s="367"/>
      <c r="N336" s="241"/>
      <c r="O336" s="241"/>
      <c r="P336" s="241"/>
      <c r="Q336" s="241"/>
      <c r="R336" s="241"/>
      <c r="S336" s="241"/>
      <c r="T336" s="241"/>
      <c r="U336" s="241"/>
    </row>
    <row r="337" spans="2:21" ht="15.75">
      <c r="B337" s="778"/>
      <c r="C337" s="805"/>
      <c r="D337" s="1239"/>
      <c r="E337" s="1239"/>
      <c r="F337" s="1239"/>
      <c r="G337" s="1239"/>
      <c r="H337" s="1239"/>
      <c r="I337" s="1239"/>
      <c r="J337" s="1239"/>
      <c r="K337" s="1239"/>
      <c r="L337" s="364"/>
      <c r="N337" s="241"/>
      <c r="O337" s="241"/>
      <c r="P337" s="241"/>
      <c r="Q337" s="241"/>
      <c r="R337" s="241"/>
      <c r="S337" s="241"/>
      <c r="T337" s="241"/>
      <c r="U337" s="241"/>
    </row>
    <row r="338" spans="2:21">
      <c r="B338" s="361"/>
      <c r="D338" s="364"/>
      <c r="E338" s="364"/>
      <c r="F338" s="364"/>
      <c r="G338" s="364"/>
      <c r="H338" s="364"/>
      <c r="I338" s="364"/>
      <c r="J338" s="364"/>
      <c r="K338" s="364"/>
      <c r="L338" s="364"/>
      <c r="N338" s="241"/>
      <c r="O338" s="241"/>
      <c r="P338" s="241"/>
      <c r="Q338" s="241"/>
      <c r="R338" s="241"/>
      <c r="S338" s="241"/>
      <c r="T338" s="241"/>
      <c r="U338" s="241"/>
    </row>
    <row r="339" spans="2:21">
      <c r="B339" s="245" t="s">
        <v>159</v>
      </c>
      <c r="C339" s="246"/>
      <c r="D339" s="1226" t="s">
        <v>581</v>
      </c>
      <c r="E339" s="1226"/>
      <c r="F339" s="1226"/>
      <c r="G339" s="1226"/>
      <c r="H339" s="1226"/>
      <c r="I339" s="1226"/>
      <c r="J339" s="1226"/>
      <c r="K339" s="1226"/>
      <c r="L339" s="1226"/>
      <c r="N339" s="241"/>
      <c r="O339" s="241"/>
      <c r="P339" s="241"/>
      <c r="Q339" s="241"/>
      <c r="R339" s="241"/>
      <c r="S339" s="241"/>
      <c r="T339" s="241"/>
      <c r="U339" s="241"/>
    </row>
    <row r="340" spans="2:21">
      <c r="B340" s="245"/>
      <c r="C340" s="246"/>
      <c r="D340" s="1226"/>
      <c r="E340" s="1226"/>
      <c r="F340" s="1226"/>
      <c r="G340" s="1226"/>
      <c r="H340" s="1226"/>
      <c r="I340" s="1226"/>
      <c r="J340" s="1226"/>
      <c r="K340" s="1226"/>
      <c r="L340" s="1226"/>
      <c r="N340" s="241"/>
      <c r="O340" s="241"/>
      <c r="P340" s="241"/>
      <c r="Q340" s="241"/>
      <c r="R340" s="241"/>
      <c r="S340" s="241"/>
      <c r="T340" s="241"/>
      <c r="U340" s="241"/>
    </row>
    <row r="341" spans="2:21">
      <c r="B341" s="245"/>
      <c r="C341" s="246"/>
      <c r="D341" s="1226"/>
      <c r="E341" s="1226"/>
      <c r="F341" s="1226"/>
      <c r="G341" s="1226"/>
      <c r="H341" s="1226"/>
      <c r="I341" s="1226"/>
      <c r="J341" s="1226"/>
      <c r="K341" s="1226"/>
      <c r="L341" s="1226"/>
      <c r="N341" s="241"/>
      <c r="O341" s="241"/>
      <c r="P341" s="241"/>
      <c r="Q341" s="241"/>
      <c r="R341" s="241"/>
      <c r="S341" s="241"/>
      <c r="T341" s="241"/>
      <c r="U341" s="241"/>
    </row>
    <row r="342" spans="2:21">
      <c r="B342" s="245"/>
      <c r="C342" s="246"/>
      <c r="D342" s="1226"/>
      <c r="E342" s="1226"/>
      <c r="F342" s="1226"/>
      <c r="G342" s="1226"/>
      <c r="H342" s="1226"/>
      <c r="I342" s="1226"/>
      <c r="J342" s="1226"/>
      <c r="K342" s="1226"/>
      <c r="L342" s="1226"/>
      <c r="N342" s="241"/>
      <c r="O342" s="241"/>
      <c r="P342" s="241"/>
      <c r="Q342" s="241"/>
      <c r="R342" s="241"/>
      <c r="S342" s="241"/>
      <c r="T342" s="241"/>
      <c r="U342" s="241"/>
    </row>
    <row r="343" spans="2:21">
      <c r="B343" s="245"/>
      <c r="C343" s="246"/>
      <c r="D343" s="364"/>
      <c r="E343" s="362"/>
      <c r="F343" s="362"/>
      <c r="G343" s="362"/>
      <c r="H343" s="362"/>
      <c r="I343" s="362"/>
      <c r="J343" s="362"/>
      <c r="K343" s="362"/>
      <c r="L343" s="362"/>
      <c r="N343" s="241"/>
      <c r="O343" s="241"/>
      <c r="P343" s="241"/>
      <c r="Q343" s="241"/>
      <c r="R343" s="241"/>
      <c r="S343" s="241"/>
      <c r="T343" s="241"/>
      <c r="U343" s="241"/>
    </row>
    <row r="344" spans="2:21" ht="15" customHeight="1">
      <c r="B344" s="245" t="s">
        <v>160</v>
      </c>
      <c r="C344" s="246"/>
      <c r="D344" s="1232" t="s">
        <v>850</v>
      </c>
      <c r="E344" s="1233"/>
      <c r="F344" s="1233"/>
      <c r="G344" s="1233"/>
      <c r="H344" s="1233"/>
      <c r="I344" s="1233"/>
      <c r="J344" s="1233"/>
      <c r="K344" s="1233"/>
      <c r="L344" s="1227"/>
      <c r="N344" s="241"/>
      <c r="O344" s="241"/>
      <c r="P344" s="241"/>
      <c r="Q344" s="241"/>
      <c r="R344" s="241"/>
      <c r="S344" s="241"/>
      <c r="T344" s="241"/>
      <c r="U344" s="241"/>
    </row>
    <row r="345" spans="2:21">
      <c r="B345" s="245"/>
      <c r="C345" s="246"/>
      <c r="D345" s="1233"/>
      <c r="E345" s="1233"/>
      <c r="F345" s="1233"/>
      <c r="G345" s="1233"/>
      <c r="H345" s="1233"/>
      <c r="I345" s="1233"/>
      <c r="J345" s="1233"/>
      <c r="K345" s="1233"/>
      <c r="L345" s="1227"/>
      <c r="N345" s="241"/>
      <c r="O345" s="241"/>
      <c r="P345" s="241"/>
      <c r="Q345" s="241"/>
      <c r="R345" s="241"/>
      <c r="S345" s="241"/>
      <c r="T345" s="241"/>
      <c r="U345" s="241"/>
    </row>
    <row r="346" spans="2:21">
      <c r="B346" s="245"/>
      <c r="C346" s="246"/>
      <c r="D346" s="1227"/>
      <c r="E346" s="1227"/>
      <c r="F346" s="1227"/>
      <c r="G346" s="1227"/>
      <c r="H346" s="1227"/>
      <c r="I346" s="1227"/>
      <c r="J346" s="1227"/>
      <c r="K346" s="1227"/>
      <c r="L346" s="1227"/>
      <c r="N346" s="241"/>
      <c r="O346" s="241"/>
      <c r="P346" s="241"/>
      <c r="Q346" s="241"/>
      <c r="R346" s="241"/>
      <c r="S346" s="241"/>
      <c r="T346" s="241"/>
      <c r="U346" s="241"/>
    </row>
    <row r="347" spans="2:21">
      <c r="B347" s="245"/>
      <c r="C347" s="246"/>
      <c r="D347" s="318"/>
      <c r="E347" s="241"/>
      <c r="F347" s="241"/>
      <c r="G347" s="241"/>
      <c r="H347" s="241"/>
      <c r="I347" s="241"/>
      <c r="J347" s="241"/>
      <c r="K347" s="241"/>
      <c r="L347" s="241"/>
      <c r="N347" s="241"/>
      <c r="O347" s="241"/>
      <c r="P347" s="241"/>
      <c r="Q347" s="241"/>
      <c r="R347" s="241"/>
      <c r="S347" s="241"/>
      <c r="T347" s="241"/>
      <c r="U347" s="241"/>
    </row>
    <row r="348" spans="2:21">
      <c r="B348" s="308" t="s">
        <v>245</v>
      </c>
      <c r="C348" s="246"/>
      <c r="D348" s="241" t="s">
        <v>355</v>
      </c>
      <c r="E348" s="11"/>
      <c r="F348" s="11"/>
      <c r="G348" s="11"/>
      <c r="H348" s="11"/>
      <c r="I348" s="11"/>
      <c r="J348" s="11"/>
      <c r="N348" s="241"/>
      <c r="O348" s="241"/>
      <c r="P348" s="241"/>
      <c r="Q348" s="241"/>
      <c r="R348" s="241"/>
      <c r="S348" s="241"/>
      <c r="T348" s="241"/>
      <c r="U348" s="241"/>
    </row>
    <row r="349" spans="2:21">
      <c r="B349" s="308"/>
      <c r="C349" s="246"/>
      <c r="D349" s="11"/>
      <c r="E349" s="11"/>
      <c r="F349" s="11"/>
      <c r="G349" s="11"/>
      <c r="H349" s="11"/>
      <c r="I349" s="11"/>
      <c r="J349" s="11"/>
      <c r="N349" s="241"/>
      <c r="O349" s="241"/>
      <c r="P349" s="241"/>
      <c r="Q349" s="241"/>
      <c r="R349" s="241"/>
      <c r="S349" s="241"/>
      <c r="T349" s="241"/>
      <c r="U349" s="241"/>
    </row>
    <row r="350" spans="2:21">
      <c r="B350" s="245" t="s">
        <v>304</v>
      </c>
      <c r="C350" s="246"/>
      <c r="D350" s="241" t="s">
        <v>344</v>
      </c>
      <c r="N350" s="241"/>
      <c r="O350" s="241"/>
      <c r="P350" s="241"/>
      <c r="Q350" s="241"/>
      <c r="R350" s="241"/>
      <c r="S350" s="241"/>
      <c r="T350" s="241"/>
      <c r="U350" s="241"/>
    </row>
    <row r="351" spans="2:21">
      <c r="B351" s="308"/>
      <c r="C351" s="246"/>
      <c r="D351" s="241" t="s">
        <v>233</v>
      </c>
      <c r="N351" s="241"/>
      <c r="O351" s="241"/>
      <c r="P351" s="241"/>
      <c r="Q351" s="241"/>
      <c r="R351" s="241"/>
      <c r="S351" s="241"/>
      <c r="T351" s="241"/>
      <c r="U351" s="241"/>
    </row>
    <row r="352" spans="2:21">
      <c r="B352" s="308"/>
      <c r="C352" s="246"/>
      <c r="D352" s="241" t="s">
        <v>234</v>
      </c>
      <c r="N352" s="241"/>
      <c r="O352" s="241"/>
      <c r="P352" s="241"/>
      <c r="Q352" s="241"/>
      <c r="R352" s="241"/>
      <c r="S352" s="241"/>
      <c r="T352" s="241"/>
      <c r="U352" s="241"/>
    </row>
    <row r="353" spans="2:21">
      <c r="B353" s="308"/>
      <c r="C353" s="246"/>
      <c r="D353" s="241" t="s">
        <v>235</v>
      </c>
      <c r="N353" s="241"/>
      <c r="O353" s="241"/>
      <c r="P353" s="241"/>
      <c r="Q353" s="241"/>
      <c r="R353" s="241"/>
      <c r="S353" s="241"/>
      <c r="T353" s="241"/>
      <c r="U353" s="241"/>
    </row>
    <row r="354" spans="2:21">
      <c r="B354" s="245"/>
      <c r="C354" s="246"/>
      <c r="D354" s="241" t="str">
        <f>"(ln "&amp;B202&amp;") multiplied by (1/1-T) .  If the applicable tax rates are zero enter 0."</f>
        <v>(ln 118) multiplied by (1/1-T) .  If the applicable tax rates are zero enter 0.</v>
      </c>
      <c r="N354" s="241"/>
      <c r="O354" s="241"/>
      <c r="P354" s="241"/>
      <c r="Q354" s="241"/>
      <c r="R354" s="241"/>
      <c r="S354" s="241"/>
      <c r="T354" s="241"/>
      <c r="U354" s="241"/>
    </row>
    <row r="355" spans="2:21">
      <c r="B355" s="368"/>
      <c r="C355" s="241"/>
      <c r="D355" s="241" t="s">
        <v>345</v>
      </c>
      <c r="E355" s="241" t="s">
        <v>346</v>
      </c>
      <c r="F355" s="600">
        <v>0.21</v>
      </c>
      <c r="G355" s="241"/>
      <c r="N355" s="241"/>
      <c r="O355" s="241"/>
      <c r="P355" s="241"/>
      <c r="Q355" s="241"/>
      <c r="R355" s="241"/>
      <c r="S355" s="241"/>
      <c r="T355" s="241"/>
      <c r="U355" s="241"/>
    </row>
    <row r="356" spans="2:21">
      <c r="B356" s="368"/>
      <c r="C356" s="241"/>
      <c r="D356" s="241"/>
      <c r="E356" s="241" t="s">
        <v>347</v>
      </c>
      <c r="F356" s="267">
        <f>'WS G  State Tax Rate'!F33</f>
        <v>6.4700000000000008E-2</v>
      </c>
      <c r="G356" s="241" t="s">
        <v>505</v>
      </c>
      <c r="N356" s="241"/>
      <c r="O356" s="241"/>
      <c r="P356" s="241"/>
      <c r="Q356" s="241"/>
      <c r="R356" s="241"/>
      <c r="S356" s="241"/>
      <c r="T356" s="241"/>
      <c r="U356" s="241"/>
    </row>
    <row r="357" spans="2:21">
      <c r="B357" s="368"/>
      <c r="C357" s="241"/>
      <c r="D357" s="241"/>
      <c r="E357" s="241" t="s">
        <v>348</v>
      </c>
      <c r="F357" s="600">
        <v>0</v>
      </c>
      <c r="G357" s="241" t="s">
        <v>349</v>
      </c>
      <c r="N357" s="241"/>
      <c r="O357" s="241"/>
      <c r="P357" s="241"/>
      <c r="Q357" s="241"/>
      <c r="R357" s="241"/>
      <c r="S357" s="241"/>
      <c r="T357" s="241"/>
      <c r="U357" s="241"/>
    </row>
    <row r="358" spans="2:21">
      <c r="B358" s="308"/>
      <c r="C358" s="246"/>
      <c r="D358" s="241" t="s">
        <v>592</v>
      </c>
      <c r="M358" s="241"/>
      <c r="N358" s="241"/>
      <c r="O358" s="241"/>
      <c r="P358" s="241"/>
      <c r="Q358" s="241"/>
      <c r="R358" s="241"/>
      <c r="S358" s="241"/>
      <c r="T358" s="241"/>
      <c r="U358" s="241"/>
    </row>
    <row r="359" spans="2:21">
      <c r="B359" s="308"/>
      <c r="C359" s="246"/>
      <c r="D359" s="241" t="s">
        <v>593</v>
      </c>
      <c r="M359" s="241"/>
      <c r="N359" s="241"/>
      <c r="O359" s="241"/>
      <c r="P359" s="241"/>
      <c r="Q359" s="241"/>
      <c r="R359" s="241"/>
      <c r="S359" s="241"/>
      <c r="T359" s="241"/>
      <c r="U359" s="241"/>
    </row>
    <row r="360" spans="2:21">
      <c r="B360" s="245" t="s">
        <v>350</v>
      </c>
      <c r="C360" s="246"/>
      <c r="D360" s="241" t="s">
        <v>224</v>
      </c>
      <c r="N360" s="241"/>
      <c r="O360" s="241"/>
      <c r="P360" s="241"/>
      <c r="Q360" s="241"/>
      <c r="R360" s="241"/>
      <c r="S360" s="241"/>
      <c r="T360" s="241"/>
      <c r="U360" s="241"/>
    </row>
    <row r="361" spans="2:21">
      <c r="B361" s="237"/>
      <c r="D361" s="241"/>
      <c r="N361" s="241"/>
      <c r="O361" s="241"/>
      <c r="P361" s="241"/>
      <c r="Q361" s="241"/>
      <c r="R361" s="241"/>
      <c r="S361" s="241"/>
      <c r="T361" s="241"/>
      <c r="U361" s="241"/>
    </row>
    <row r="362" spans="2:21">
      <c r="B362" s="245" t="s">
        <v>351</v>
      </c>
      <c r="C362" s="246"/>
      <c r="D362" s="241" t="s">
        <v>22</v>
      </c>
      <c r="N362" s="241"/>
      <c r="O362" s="241"/>
      <c r="P362" s="241"/>
      <c r="Q362" s="241"/>
      <c r="R362" s="241"/>
      <c r="S362" s="241"/>
      <c r="T362" s="241"/>
      <c r="U362" s="241"/>
    </row>
    <row r="363" spans="2:21">
      <c r="B363" s="245"/>
      <c r="C363" s="246"/>
      <c r="D363" s="241"/>
      <c r="E363" s="241"/>
      <c r="F363" s="241"/>
      <c r="G363" s="241"/>
      <c r="H363" s="241"/>
      <c r="I363" s="241"/>
      <c r="J363" s="241"/>
      <c r="K363" s="241"/>
      <c r="L363" s="241"/>
      <c r="M363" s="241"/>
      <c r="N363" s="241"/>
      <c r="O363" s="241"/>
      <c r="P363" s="241"/>
      <c r="Q363" s="241"/>
      <c r="R363" s="241"/>
      <c r="S363" s="241"/>
      <c r="T363" s="241"/>
      <c r="U363" s="241"/>
    </row>
    <row r="364" spans="2:21">
      <c r="B364" s="245" t="s">
        <v>352</v>
      </c>
      <c r="C364" s="246"/>
      <c r="D364" s="241" t="s">
        <v>415</v>
      </c>
      <c r="E364" s="241"/>
      <c r="F364" s="241"/>
      <c r="G364" s="241"/>
      <c r="H364" s="241"/>
      <c r="I364" s="241"/>
      <c r="J364" s="241"/>
      <c r="K364" s="241"/>
      <c r="L364" s="241"/>
      <c r="M364" s="241"/>
      <c r="N364" s="241"/>
      <c r="O364" s="241"/>
      <c r="P364" s="241"/>
      <c r="Q364" s="241"/>
      <c r="R364" s="241"/>
      <c r="S364" s="241"/>
      <c r="T364" s="241"/>
      <c r="U364" s="241"/>
    </row>
    <row r="365" spans="2:21">
      <c r="B365" s="245"/>
      <c r="C365" s="246"/>
      <c r="D365" s="241"/>
      <c r="E365" s="241"/>
      <c r="F365" s="241"/>
      <c r="G365" s="241"/>
      <c r="H365" s="241"/>
      <c r="I365" s="241"/>
      <c r="J365" s="241"/>
      <c r="K365" s="241"/>
      <c r="L365" s="241"/>
      <c r="M365" s="241"/>
      <c r="N365" s="241"/>
      <c r="O365" s="241"/>
      <c r="P365" s="241"/>
      <c r="Q365" s="241"/>
      <c r="R365" s="241"/>
      <c r="S365" s="241"/>
      <c r="T365" s="241"/>
      <c r="U365" s="241"/>
    </row>
    <row r="366" spans="2:21">
      <c r="B366" s="361" t="s">
        <v>353</v>
      </c>
      <c r="C366" s="308"/>
      <c r="D366" s="241" t="str">
        <f>"Long Term Debt cost rate = Long-Term Interest (ln "&amp;B261&amp;") /  Long-Term Debt (ln "&amp;B271&amp;").  Preferred Stock cost rate = preferred dividends (ln "&amp;B262&amp;") / preferred outstanding (ln "&amp;B272&amp;")."</f>
        <v>Long Term Debt cost rate = Long-Term Interest (ln 145) /  Long-Term Debt (ln 154).  Preferred Stock cost rate = preferred dividends (ln 146) / preferred outstanding (ln 155).</v>
      </c>
      <c r="M366" s="241"/>
      <c r="N366" s="241"/>
      <c r="O366" s="241"/>
      <c r="P366" s="241"/>
      <c r="Q366" s="241"/>
      <c r="R366" s="241"/>
      <c r="S366" s="241"/>
      <c r="T366" s="241"/>
      <c r="U366" s="241"/>
    </row>
    <row r="367" spans="2:21">
      <c r="D367" s="241" t="str">
        <f>"Common Stock cost rate (ROE) = "&amp;J273*100&amp;"%, the rate accepted by FERC in Docket No. ER08-1329.  It includes an additional 50 basis points for PJM RTO Membership."</f>
        <v>Common Stock cost rate (ROE) = 10.35%, the rate accepted by FERC in Docket No. ER08-1329.  It includes an additional 50 basis points for PJM RTO Membership.</v>
      </c>
      <c r="M367" s="241"/>
      <c r="N367" s="241"/>
      <c r="O367" s="241"/>
      <c r="P367" s="241"/>
      <c r="Q367" s="241"/>
      <c r="R367" s="241"/>
      <c r="S367" s="241"/>
      <c r="T367" s="241"/>
      <c r="U367" s="241"/>
    </row>
    <row r="368" spans="2:21" ht="15" customHeight="1">
      <c r="D368" s="1229" t="s">
        <v>582</v>
      </c>
      <c r="E368" s="1229"/>
      <c r="F368" s="1229"/>
      <c r="G368" s="1229"/>
      <c r="H368" s="1229"/>
      <c r="I368" s="1229"/>
      <c r="J368" s="1229"/>
      <c r="K368" s="1229"/>
      <c r="L368" s="1229"/>
      <c r="M368" s="241"/>
      <c r="N368" s="241"/>
      <c r="O368" s="241"/>
      <c r="P368" s="241"/>
      <c r="Q368" s="241"/>
      <c r="R368" s="241"/>
      <c r="S368" s="241"/>
      <c r="T368" s="241"/>
      <c r="U368" s="241"/>
    </row>
    <row r="369" spans="2:21">
      <c r="D369" s="1229"/>
      <c r="E369" s="1229"/>
      <c r="F369" s="1229"/>
      <c r="G369" s="1229"/>
      <c r="H369" s="1229"/>
      <c r="I369" s="1229"/>
      <c r="J369" s="1229"/>
      <c r="K369" s="1229"/>
      <c r="L369" s="1229"/>
      <c r="M369" s="241"/>
      <c r="N369" s="241"/>
      <c r="O369" s="241"/>
      <c r="P369" s="241"/>
      <c r="Q369" s="241"/>
      <c r="R369" s="241"/>
      <c r="S369" s="241"/>
      <c r="T369" s="241"/>
      <c r="U369" s="241"/>
    </row>
    <row r="370" spans="2:21" ht="14.25" customHeight="1">
      <c r="D370" s="1229"/>
      <c r="E370" s="1229"/>
      <c r="F370" s="1229"/>
      <c r="G370" s="1229"/>
      <c r="H370" s="1229"/>
      <c r="I370" s="1229"/>
      <c r="J370" s="1229"/>
      <c r="K370" s="1229"/>
      <c r="L370" s="1229"/>
      <c r="M370" s="241"/>
      <c r="N370" s="241"/>
      <c r="O370" s="241"/>
      <c r="P370" s="241"/>
      <c r="Q370" s="241"/>
      <c r="R370" s="241"/>
      <c r="S370" s="241"/>
      <c r="T370" s="241"/>
      <c r="U370" s="241"/>
    </row>
    <row r="371" spans="2:21" ht="15" hidden="1" customHeight="1">
      <c r="D371" s="1229"/>
      <c r="E371" s="1229"/>
      <c r="F371" s="1229"/>
      <c r="G371" s="1229"/>
      <c r="H371" s="1229"/>
      <c r="I371" s="1229"/>
      <c r="J371" s="1229"/>
      <c r="K371" s="1229"/>
      <c r="L371" s="1229"/>
      <c r="M371" s="241"/>
      <c r="N371" s="241"/>
      <c r="O371" s="241"/>
      <c r="P371" s="241"/>
      <c r="Q371" s="241"/>
      <c r="R371" s="241"/>
      <c r="S371" s="241"/>
      <c r="T371" s="241"/>
      <c r="U371" s="241"/>
    </row>
    <row r="372" spans="2:21" ht="15" hidden="1" customHeight="1">
      <c r="D372" s="1229"/>
      <c r="E372" s="1229"/>
      <c r="F372" s="1229"/>
      <c r="G372" s="1229"/>
      <c r="H372" s="1229"/>
      <c r="I372" s="1229"/>
      <c r="J372" s="1229"/>
      <c r="K372" s="1229"/>
      <c r="L372" s="1229"/>
      <c r="M372" s="241"/>
      <c r="N372" s="241"/>
      <c r="O372" s="241"/>
      <c r="P372" s="241"/>
      <c r="Q372" s="241"/>
      <c r="R372" s="241"/>
      <c r="S372" s="241"/>
      <c r="T372" s="241"/>
      <c r="U372" s="241"/>
    </row>
    <row r="373" spans="2:21" ht="15" hidden="1" customHeight="1">
      <c r="D373" s="1229"/>
      <c r="E373" s="1229"/>
      <c r="F373" s="1229"/>
      <c r="G373" s="1229"/>
      <c r="H373" s="1229"/>
      <c r="I373" s="1229"/>
      <c r="J373" s="1229"/>
      <c r="K373" s="1229"/>
      <c r="L373" s="1229"/>
      <c r="M373" s="241"/>
      <c r="N373" s="241"/>
      <c r="O373" s="241"/>
      <c r="P373" s="241"/>
      <c r="Q373" s="241"/>
      <c r="R373" s="241"/>
      <c r="S373" s="241"/>
      <c r="T373" s="241"/>
      <c r="U373" s="241"/>
    </row>
    <row r="374" spans="2:21">
      <c r="B374" s="245" t="s">
        <v>426</v>
      </c>
      <c r="C374" s="246"/>
      <c r="D374" s="364" t="s">
        <v>34</v>
      </c>
      <c r="E374" s="364"/>
      <c r="F374" s="364"/>
      <c r="G374" s="364"/>
      <c r="H374" s="364"/>
      <c r="I374" s="364"/>
      <c r="J374" s="364"/>
      <c r="M374" s="241"/>
      <c r="N374" s="241"/>
      <c r="O374" s="241"/>
      <c r="P374" s="241"/>
      <c r="Q374" s="241"/>
      <c r="R374" s="241"/>
      <c r="S374" s="241"/>
      <c r="T374" s="241"/>
      <c r="U374" s="241"/>
    </row>
    <row r="375" spans="2:21">
      <c r="B375" s="245"/>
      <c r="C375" s="246"/>
      <c r="D375" s="364" t="str">
        <f>"This total balance of $265,249,280 at 12/31/12 is not included in the balance in line "&amp;B271&amp;" above."</f>
        <v>This total balance of $265,249,280 at 12/31/12 is not included in the balance in line 154 above.</v>
      </c>
      <c r="E375" s="364"/>
      <c r="F375" s="364"/>
      <c r="G375" s="364"/>
      <c r="H375" s="364"/>
      <c r="I375" s="364"/>
      <c r="J375" s="364"/>
      <c r="M375" s="241"/>
      <c r="N375" s="241"/>
      <c r="O375" s="241"/>
      <c r="P375" s="241"/>
      <c r="Q375" s="241"/>
      <c r="R375" s="241"/>
      <c r="S375" s="241"/>
      <c r="T375" s="241"/>
      <c r="U375" s="241"/>
    </row>
    <row r="376" spans="2:21">
      <c r="B376" s="245"/>
      <c r="C376" s="246"/>
      <c r="D376" s="1225" t="s">
        <v>583</v>
      </c>
      <c r="E376" s="1225"/>
      <c r="F376" s="1225"/>
      <c r="G376" s="1225"/>
      <c r="H376" s="1225"/>
      <c r="I376" s="1225"/>
      <c r="J376" s="1225"/>
      <c r="K376" s="1225"/>
      <c r="L376" s="1225"/>
      <c r="M376" s="241"/>
      <c r="N376" s="241"/>
      <c r="O376" s="241"/>
      <c r="P376" s="241"/>
      <c r="Q376" s="241"/>
      <c r="R376" s="241"/>
      <c r="S376" s="241"/>
      <c r="T376" s="241"/>
      <c r="U376" s="241"/>
    </row>
    <row r="377" spans="2:21">
      <c r="B377" s="245"/>
      <c r="C377" s="246"/>
      <c r="D377" s="1225"/>
      <c r="E377" s="1225"/>
      <c r="F377" s="1225"/>
      <c r="G377" s="1225"/>
      <c r="H377" s="1225"/>
      <c r="I377" s="1225"/>
      <c r="J377" s="1225"/>
      <c r="K377" s="1225"/>
      <c r="L377" s="1225"/>
      <c r="M377" s="241"/>
      <c r="N377" s="241"/>
      <c r="O377" s="241"/>
      <c r="P377" s="241"/>
      <c r="Q377" s="241"/>
      <c r="R377" s="241"/>
      <c r="S377" s="241"/>
      <c r="T377" s="241"/>
      <c r="U377" s="241"/>
    </row>
    <row r="378" spans="2:21">
      <c r="B378" s="245"/>
      <c r="C378" s="246"/>
      <c r="D378" s="1225"/>
      <c r="E378" s="1225"/>
      <c r="F378" s="1225"/>
      <c r="G378" s="1225"/>
      <c r="H378" s="1225"/>
      <c r="I378" s="1225"/>
      <c r="J378" s="1225"/>
      <c r="K378" s="1225"/>
      <c r="L378" s="1225"/>
      <c r="M378" s="241"/>
      <c r="N378" s="241"/>
      <c r="O378" s="241"/>
      <c r="P378" s="241"/>
      <c r="Q378" s="241"/>
      <c r="R378" s="241"/>
      <c r="S378" s="241"/>
      <c r="T378" s="241"/>
      <c r="U378" s="241"/>
    </row>
    <row r="379" spans="2:21">
      <c r="B379" s="245" t="s">
        <v>494</v>
      </c>
      <c r="C379" s="369"/>
      <c r="D379" s="1225" t="s">
        <v>751</v>
      </c>
      <c r="E379" s="1225"/>
      <c r="F379" s="1225"/>
      <c r="G379" s="1225"/>
      <c r="H379" s="1225"/>
      <c r="I379" s="1225"/>
      <c r="J379" s="1225"/>
      <c r="K379" s="1225"/>
      <c r="L379" s="1225"/>
      <c r="M379" s="241"/>
      <c r="N379" s="241"/>
      <c r="O379" s="241"/>
      <c r="P379" s="241"/>
      <c r="Q379" s="241"/>
      <c r="R379" s="241"/>
      <c r="S379" s="241"/>
      <c r="T379" s="241"/>
      <c r="U379" s="241"/>
    </row>
    <row r="380" spans="2:21" ht="64.5" customHeight="1">
      <c r="B380" s="245"/>
      <c r="C380" s="246"/>
      <c r="D380" s="1225"/>
      <c r="E380" s="1225"/>
      <c r="F380" s="1225"/>
      <c r="G380" s="1225"/>
      <c r="H380" s="1225"/>
      <c r="I380" s="1225"/>
      <c r="J380" s="1225"/>
      <c r="K380" s="1225"/>
      <c r="L380" s="1225"/>
      <c r="M380" s="241"/>
      <c r="N380" s="241"/>
      <c r="O380" s="241"/>
      <c r="P380" s="241"/>
      <c r="Q380" s="241"/>
      <c r="R380" s="241"/>
      <c r="S380" s="241"/>
      <c r="T380" s="241"/>
      <c r="U380" s="241"/>
    </row>
    <row r="381" spans="2:21">
      <c r="B381" s="245" t="s">
        <v>585</v>
      </c>
      <c r="C381" s="246"/>
      <c r="D381" s="1225" t="s">
        <v>584</v>
      </c>
      <c r="E381" s="1225"/>
      <c r="F381" s="1225"/>
      <c r="G381" s="1225"/>
      <c r="H381" s="1225"/>
      <c r="I381" s="1225"/>
      <c r="J381" s="1225"/>
      <c r="K381" s="1225"/>
      <c r="L381" s="1225"/>
      <c r="M381" s="241"/>
      <c r="N381" s="241"/>
      <c r="O381" s="241"/>
      <c r="P381" s="241"/>
      <c r="Q381" s="241"/>
      <c r="R381" s="241"/>
      <c r="S381" s="241"/>
      <c r="T381" s="241"/>
      <c r="U381" s="241"/>
    </row>
    <row r="382" spans="2:21">
      <c r="B382" s="245"/>
      <c r="C382" s="246"/>
      <c r="D382" s="1225"/>
      <c r="E382" s="1225"/>
      <c r="F382" s="1225"/>
      <c r="G382" s="1225"/>
      <c r="H382" s="1225"/>
      <c r="I382" s="1225"/>
      <c r="J382" s="1225"/>
      <c r="K382" s="1225"/>
      <c r="L382" s="1225"/>
      <c r="M382" s="241"/>
      <c r="N382" s="241"/>
      <c r="O382" s="241"/>
      <c r="P382" s="241"/>
      <c r="Q382" s="241"/>
      <c r="R382" s="241"/>
      <c r="S382" s="241"/>
      <c r="T382" s="241"/>
      <c r="U382" s="241"/>
    </row>
    <row r="383" spans="2:21">
      <c r="B383" s="245" t="s">
        <v>587</v>
      </c>
      <c r="C383" s="246"/>
      <c r="D383" s="1237" t="s">
        <v>588</v>
      </c>
      <c r="E383" s="1237"/>
      <c r="F383" s="1237"/>
      <c r="G383" s="1237"/>
      <c r="H383" s="1237"/>
      <c r="I383" s="1237"/>
      <c r="J383" s="1237"/>
      <c r="K383" s="1237"/>
      <c r="L383" s="1237"/>
      <c r="M383" s="241"/>
      <c r="N383" s="241"/>
      <c r="O383" s="241"/>
      <c r="P383" s="241"/>
      <c r="Q383" s="241"/>
      <c r="R383" s="241"/>
      <c r="S383" s="241"/>
      <c r="T383" s="241"/>
      <c r="U383" s="241"/>
    </row>
    <row r="384" spans="2:21">
      <c r="B384" s="245" t="s">
        <v>586</v>
      </c>
      <c r="C384" s="246"/>
      <c r="D384" s="1225" t="s">
        <v>589</v>
      </c>
      <c r="E384" s="1225"/>
      <c r="F384" s="1225"/>
      <c r="G384" s="1225"/>
      <c r="H384" s="1225"/>
      <c r="I384" s="1225"/>
      <c r="J384" s="1225"/>
      <c r="K384" s="1225"/>
      <c r="L384" s="1225"/>
      <c r="M384" s="241"/>
      <c r="N384" s="241"/>
      <c r="O384" s="241"/>
      <c r="P384" s="241"/>
      <c r="Q384" s="241"/>
      <c r="R384" s="241"/>
      <c r="S384" s="241"/>
      <c r="T384" s="241"/>
      <c r="U384" s="241"/>
    </row>
    <row r="385" spans="2:21">
      <c r="B385" s="245"/>
      <c r="C385" s="246"/>
      <c r="D385" s="1225"/>
      <c r="E385" s="1225"/>
      <c r="F385" s="1225"/>
      <c r="G385" s="1225"/>
      <c r="H385" s="1225"/>
      <c r="I385" s="1225"/>
      <c r="J385" s="1225"/>
      <c r="K385" s="1225"/>
      <c r="L385" s="1225"/>
      <c r="M385" s="241"/>
      <c r="N385" s="241"/>
      <c r="O385" s="241"/>
      <c r="P385" s="241"/>
      <c r="Q385" s="241"/>
      <c r="R385" s="241"/>
      <c r="S385" s="241"/>
      <c r="T385" s="241"/>
      <c r="U385" s="241"/>
    </row>
    <row r="386" spans="2:21">
      <c r="B386"/>
      <c r="C386"/>
      <c r="D386" s="1225"/>
      <c r="E386" s="1225"/>
      <c r="F386" s="1225"/>
      <c r="G386" s="1225"/>
      <c r="H386" s="1225"/>
      <c r="I386" s="1225"/>
      <c r="J386" s="1225"/>
      <c r="K386" s="1225"/>
      <c r="L386" s="1225"/>
      <c r="M386" s="241"/>
      <c r="N386" s="241"/>
      <c r="O386" s="241"/>
      <c r="P386" s="241"/>
      <c r="Q386" s="241"/>
      <c r="R386" s="241"/>
      <c r="S386" s="241"/>
      <c r="T386" s="241"/>
      <c r="U386" s="241"/>
    </row>
    <row r="387" spans="2:21" ht="18" customHeight="1">
      <c r="B387" s="28" t="s">
        <v>623</v>
      </c>
      <c r="C387" s="810"/>
      <c r="D387" s="11" t="s">
        <v>856</v>
      </c>
      <c r="E387" s="3"/>
      <c r="F387" s="3"/>
      <c r="G387" s="3"/>
      <c r="H387"/>
      <c r="M387" s="241"/>
      <c r="N387" s="241"/>
      <c r="O387" s="241"/>
      <c r="P387" s="241"/>
      <c r="Q387" s="241"/>
      <c r="R387" s="241"/>
      <c r="S387" s="241"/>
      <c r="T387" s="241"/>
      <c r="U387" s="241"/>
    </row>
    <row r="388" spans="2:21">
      <c r="B388"/>
      <c r="C388"/>
      <c r="D388"/>
      <c r="E388"/>
      <c r="F388"/>
      <c r="G388"/>
      <c r="H388"/>
      <c r="M388" s="241"/>
      <c r="N388" s="241"/>
      <c r="O388" s="241"/>
      <c r="P388" s="241"/>
      <c r="Q388" s="241"/>
      <c r="R388" s="241"/>
      <c r="S388" s="241"/>
      <c r="T388" s="241"/>
      <c r="U388" s="241"/>
    </row>
    <row r="389" spans="2:21">
      <c r="B389" s="28" t="s">
        <v>901</v>
      </c>
      <c r="C389"/>
      <c r="D389" s="1221" t="s">
        <v>902</v>
      </c>
      <c r="E389" s="1221"/>
      <c r="F389" s="1221"/>
      <c r="G389" s="1221"/>
      <c r="H389" s="1221"/>
      <c r="I389" s="1221"/>
      <c r="J389" s="1221"/>
      <c r="K389" s="1221"/>
      <c r="L389" s="1221"/>
    </row>
    <row r="390" spans="2:21">
      <c r="B390"/>
      <c r="C390"/>
      <c r="D390" s="1221"/>
      <c r="E390" s="1221"/>
      <c r="F390" s="1221"/>
      <c r="G390" s="1221"/>
      <c r="H390" s="1221"/>
      <c r="I390" s="1221"/>
      <c r="J390" s="1221"/>
      <c r="K390" s="1221"/>
      <c r="L390" s="1221"/>
    </row>
    <row r="391" spans="2:21">
      <c r="B391" s="361"/>
    </row>
    <row r="393" spans="2:21">
      <c r="B393" s="361"/>
    </row>
  </sheetData>
  <mergeCells count="26">
    <mergeCell ref="D383:L383"/>
    <mergeCell ref="D336:K337"/>
    <mergeCell ref="D326:J327"/>
    <mergeCell ref="D381:L382"/>
    <mergeCell ref="B24:I25"/>
    <mergeCell ref="I60:J60"/>
    <mergeCell ref="I63:J63"/>
    <mergeCell ref="I140:J140"/>
    <mergeCell ref="I143:J143"/>
    <mergeCell ref="D42:L42"/>
    <mergeCell ref="D389:L390"/>
    <mergeCell ref="G269:H269"/>
    <mergeCell ref="E185:E186"/>
    <mergeCell ref="D384:L386"/>
    <mergeCell ref="D296:L296"/>
    <mergeCell ref="D308:L308"/>
    <mergeCell ref="D304:L305"/>
    <mergeCell ref="D339:L342"/>
    <mergeCell ref="D299:K300"/>
    <mergeCell ref="D368:L373"/>
    <mergeCell ref="D376:L378"/>
    <mergeCell ref="D323:K325"/>
    <mergeCell ref="D379:L380"/>
    <mergeCell ref="D344:L346"/>
    <mergeCell ref="D332:J334"/>
    <mergeCell ref="D319:K321"/>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8"/>
  <sheetViews>
    <sheetView view="pageBreakPreview" topLeftCell="A4" zoomScaleNormal="100" zoomScaleSheetLayoutView="100" workbookViewId="0">
      <selection activeCell="B29" sqref="B29"/>
    </sheetView>
  </sheetViews>
  <sheetFormatPr defaultColWidth="8.85546875" defaultRowHeight="12.75"/>
  <cols>
    <col min="1" max="1" width="9.28515625" style="1" bestFit="1" customWidth="1"/>
    <col min="2" max="2" width="65.140625" bestFit="1" customWidth="1"/>
    <col min="3" max="3" width="12.7109375" bestFit="1" customWidth="1"/>
    <col min="4" max="4" width="1.5703125" customWidth="1"/>
    <col min="5" max="5" width="15" bestFit="1" customWidth="1"/>
  </cols>
  <sheetData>
    <row r="1" spans="1:15" ht="15.75">
      <c r="A1" s="645" t="s">
        <v>114</v>
      </c>
    </row>
    <row r="2" spans="1:15" ht="15.75">
      <c r="A2" s="645" t="s">
        <v>114</v>
      </c>
    </row>
    <row r="3" spans="1:15" ht="15">
      <c r="A3" s="1251" t="str">
        <f>+'WS C  - Working Capital'!A3:L3</f>
        <v>AEP East Companies</v>
      </c>
      <c r="B3" s="1251"/>
      <c r="C3" s="1251"/>
      <c r="D3" s="1251"/>
      <c r="E3" s="1251"/>
      <c r="F3" s="28"/>
      <c r="G3" s="28"/>
      <c r="H3" s="28"/>
      <c r="I3" s="28"/>
      <c r="J3" s="28"/>
      <c r="K3" s="28"/>
      <c r="L3" s="28"/>
      <c r="M3" s="28"/>
      <c r="N3" s="28"/>
      <c r="O3" s="28"/>
    </row>
    <row r="4" spans="1:15" ht="15">
      <c r="A4" s="1252" t="str">
        <f>"Cost of Service Formula Rate Using Actual/Projected FF1 Balances"</f>
        <v>Cost of Service Formula Rate Using Actual/Projected FF1 Balances</v>
      </c>
      <c r="B4" s="1252"/>
      <c r="C4" s="1252"/>
      <c r="D4" s="1252"/>
      <c r="E4" s="1252"/>
      <c r="F4" s="72"/>
      <c r="G4" s="72"/>
      <c r="H4" s="72"/>
      <c r="I4" s="72"/>
      <c r="J4" s="72"/>
      <c r="K4" s="72"/>
      <c r="L4" s="72"/>
      <c r="M4" s="73"/>
      <c r="N4" s="73"/>
      <c r="O4" s="73"/>
    </row>
    <row r="5" spans="1:15" ht="15">
      <c r="A5" s="1252" t="s">
        <v>227</v>
      </c>
      <c r="B5" s="1252"/>
      <c r="C5" s="1252"/>
      <c r="D5" s="1252"/>
      <c r="E5" s="1252"/>
      <c r="F5" s="72"/>
      <c r="G5" s="72"/>
      <c r="H5" s="72"/>
      <c r="I5" s="72"/>
      <c r="J5" s="72"/>
      <c r="K5" s="72"/>
      <c r="L5" s="72"/>
      <c r="M5" s="72"/>
      <c r="N5" s="72"/>
      <c r="O5" s="72"/>
    </row>
    <row r="6" spans="1:15" ht="15">
      <c r="A6" s="1260" t="str">
        <f>TCOS!F9</f>
        <v>WHEELING POWER COMPANY</v>
      </c>
      <c r="B6" s="1260"/>
      <c r="C6" s="1260"/>
      <c r="D6" s="1260"/>
      <c r="E6" s="1260"/>
      <c r="F6" s="2"/>
      <c r="G6" s="2"/>
      <c r="H6" s="2"/>
      <c r="I6" s="2"/>
      <c r="J6" s="2"/>
      <c r="K6" s="2"/>
      <c r="L6" s="2"/>
      <c r="M6" s="2"/>
      <c r="N6" s="2"/>
      <c r="O6" s="2"/>
    </row>
    <row r="8" spans="1:15">
      <c r="A8" s="370" t="s">
        <v>169</v>
      </c>
      <c r="B8" s="136" t="s">
        <v>162</v>
      </c>
      <c r="C8" s="136" t="s">
        <v>163</v>
      </c>
    </row>
    <row r="9" spans="1:15">
      <c r="A9" s="370" t="s">
        <v>106</v>
      </c>
      <c r="B9" s="370" t="s">
        <v>167</v>
      </c>
      <c r="C9" s="370">
        <f>+TCOS!L4</f>
        <v>2026</v>
      </c>
    </row>
    <row r="10" spans="1:15">
      <c r="B10" s="192"/>
      <c r="C10" s="136"/>
    </row>
    <row r="11" spans="1:15">
      <c r="A11" s="1">
        <v>1</v>
      </c>
      <c r="B11" s="812" t="str">
        <f>"Net Funds from IPP Customers 12/31/"&amp;TCOS!L4-1&amp;" ("&amp;TCOS!L4&amp;" FORM 1, P269)"</f>
        <v>Net Funds from IPP Customers 12/31/2025 (2026 FORM 1, P269)</v>
      </c>
      <c r="C11" s="605">
        <v>0</v>
      </c>
    </row>
    <row r="12" spans="1:15">
      <c r="B12" s="3"/>
      <c r="C12" s="107"/>
    </row>
    <row r="13" spans="1:15">
      <c r="A13" s="1">
        <v>2</v>
      </c>
      <c r="B13" s="812" t="s">
        <v>71</v>
      </c>
      <c r="C13" s="605">
        <v>0</v>
      </c>
    </row>
    <row r="14" spans="1:15">
      <c r="B14" s="812"/>
      <c r="C14" s="107"/>
    </row>
    <row r="15" spans="1:15">
      <c r="A15" s="1">
        <f>+A13+1</f>
        <v>3</v>
      </c>
      <c r="B15" s="812" t="s">
        <v>72</v>
      </c>
      <c r="C15" s="605">
        <v>0</v>
      </c>
    </row>
    <row r="16" spans="1:15">
      <c r="B16" s="812"/>
      <c r="C16" s="107"/>
    </row>
    <row r="17" spans="1:4">
      <c r="A17" s="1">
        <f>+A15+1</f>
        <v>4</v>
      </c>
      <c r="B17" s="813" t="s">
        <v>228</v>
      </c>
      <c r="C17" s="107"/>
    </row>
    <row r="18" spans="1:4">
      <c r="A18" s="1">
        <f>+A17+1</f>
        <v>5</v>
      </c>
      <c r="B18" s="812" t="s">
        <v>73</v>
      </c>
      <c r="C18" s="605">
        <v>0</v>
      </c>
    </row>
    <row r="19" spans="1:4">
      <c r="A19" s="1">
        <f>+A18+1</f>
        <v>6</v>
      </c>
      <c r="B19" s="76" t="s">
        <v>114</v>
      </c>
      <c r="C19" s="611">
        <v>0</v>
      </c>
    </row>
    <row r="20" spans="1:4">
      <c r="B20" s="3"/>
      <c r="C20" s="612"/>
    </row>
    <row r="21" spans="1:4">
      <c r="A21" s="1">
        <f>+A19+1</f>
        <v>7</v>
      </c>
      <c r="B21" s="812" t="str">
        <f>"Net Funds from IPP Customers 12/31/"&amp;TCOS!L4&amp;" ("&amp;TCOS!L4&amp;" FORM 1, P269)"</f>
        <v>Net Funds from IPP Customers 12/31/2026 (2026 FORM 1, P269)</v>
      </c>
      <c r="C21" s="107">
        <f>+C11+C13+C15+C18+C19</f>
        <v>0</v>
      </c>
      <c r="D21" s="371"/>
    </row>
    <row r="22" spans="1:4">
      <c r="B22" s="3"/>
      <c r="C22" s="107"/>
    </row>
    <row r="23" spans="1:4">
      <c r="A23" s="1">
        <f>+A21+1</f>
        <v>8</v>
      </c>
      <c r="B23" s="812" t="str">
        <f>"Average Balance for Year as Indicated in Column B ((ln "&amp;A11&amp;" + ln "&amp;A21&amp;")/2)"</f>
        <v>Average Balance for Year as Indicated in Column B ((ln 1 + ln 7)/2)</v>
      </c>
      <c r="C23" s="372">
        <f>AVERAGE(C21,C11)</f>
        <v>0</v>
      </c>
    </row>
    <row r="24" spans="1:4">
      <c r="B24" s="3"/>
    </row>
    <row r="25" spans="1:4">
      <c r="B25" s="67"/>
      <c r="C25" s="373"/>
    </row>
    <row r="26" spans="1:4" ht="15">
      <c r="A26" s="237" t="s">
        <v>499</v>
      </c>
      <c r="B26" s="1234" t="str">
        <f>"On this worksheet Company Records refers to  "&amp;A6&amp;"'s general ledger."</f>
        <v>On this worksheet Company Records refers to  WHEELING POWER COMPANY's general ledger.</v>
      </c>
    </row>
    <row r="27" spans="1:4">
      <c r="B27" s="1228"/>
    </row>
    <row r="28" spans="1:4">
      <c r="B28" s="3"/>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164"/>
  <sheetViews>
    <sheetView view="pageBreakPreview" topLeftCell="A4" zoomScaleNormal="100" zoomScaleSheetLayoutView="100" workbookViewId="0">
      <selection activeCell="K17" sqref="K17"/>
    </sheetView>
  </sheetViews>
  <sheetFormatPr defaultRowHeight="15"/>
  <cols>
    <col min="1" max="1" width="9.42578125" style="374" customWidth="1"/>
    <col min="2" max="2" width="6.7109375" style="374" customWidth="1"/>
    <col min="3" max="8" width="14.5703125" style="374" customWidth="1"/>
    <col min="9" max="9" width="14.85546875" style="374" bestFit="1" customWidth="1"/>
    <col min="10" max="11" width="16.5703125" style="374" bestFit="1" customWidth="1"/>
    <col min="12" max="13" width="22.140625" style="374" bestFit="1" customWidth="1"/>
    <col min="14" max="14" width="8.42578125" style="374" customWidth="1"/>
    <col min="15" max="38" width="12.7109375" style="374" customWidth="1"/>
    <col min="39" max="16384" width="9.140625" style="374"/>
  </cols>
  <sheetData>
    <row r="1" spans="1:22" ht="15.75">
      <c r="A1" s="645" t="s">
        <v>114</v>
      </c>
    </row>
    <row r="2" spans="1:22" ht="15.75">
      <c r="A2" s="645" t="s">
        <v>114</v>
      </c>
    </row>
    <row r="3" spans="1:22">
      <c r="A3" s="1251" t="str">
        <f>+'WS C  - Working Capital'!A3:L3</f>
        <v>AEP East Companies</v>
      </c>
      <c r="B3" s="1251"/>
      <c r="C3" s="1251"/>
      <c r="D3" s="1251"/>
      <c r="E3" s="1251"/>
      <c r="F3" s="1251"/>
      <c r="G3" s="1251"/>
      <c r="H3" s="1251"/>
      <c r="I3" s="1251"/>
      <c r="J3" s="1251"/>
      <c r="K3" s="1251"/>
      <c r="L3" s="28"/>
      <c r="M3" s="28"/>
      <c r="N3" s="28"/>
      <c r="O3" s="28"/>
    </row>
    <row r="4" spans="1:22">
      <c r="A4" s="1252" t="str">
        <f>"Cost of Service Formula Rate Using Actual/Projected FF1 Balances"</f>
        <v>Cost of Service Formula Rate Using Actual/Projected FF1 Balances</v>
      </c>
      <c r="B4" s="1252"/>
      <c r="C4" s="1252"/>
      <c r="D4" s="1252"/>
      <c r="E4" s="1252"/>
      <c r="F4" s="1252"/>
      <c r="G4" s="1252"/>
      <c r="H4" s="1252"/>
      <c r="I4" s="1252"/>
      <c r="J4" s="1252"/>
      <c r="K4" s="1252"/>
      <c r="L4" s="73"/>
      <c r="M4" s="73"/>
      <c r="N4" s="73"/>
      <c r="O4" s="73"/>
    </row>
    <row r="5" spans="1:22">
      <c r="A5" s="1252" t="s">
        <v>237</v>
      </c>
      <c r="B5" s="1252"/>
      <c r="C5" s="1252"/>
      <c r="D5" s="1252"/>
      <c r="E5" s="1252"/>
      <c r="F5" s="1252"/>
      <c r="G5" s="1252"/>
      <c r="H5" s="1252"/>
      <c r="I5" s="1252"/>
      <c r="J5" s="1252"/>
      <c r="K5" s="1252"/>
      <c r="L5" s="72"/>
      <c r="M5" s="72"/>
      <c r="N5" s="72"/>
      <c r="O5" s="72"/>
    </row>
    <row r="6" spans="1:22">
      <c r="A6" s="1260" t="str">
        <f>TCOS!F9</f>
        <v>WHEELING POWER COMPANY</v>
      </c>
      <c r="B6" s="1260"/>
      <c r="C6" s="1260"/>
      <c r="D6" s="1260"/>
      <c r="E6" s="1260"/>
      <c r="F6" s="1260"/>
      <c r="G6" s="1260"/>
      <c r="H6" s="1260"/>
      <c r="I6" s="1260"/>
      <c r="J6" s="1260"/>
      <c r="K6" s="1260"/>
      <c r="L6" s="2"/>
      <c r="M6" s="2"/>
      <c r="N6" s="2"/>
      <c r="O6" s="2"/>
    </row>
    <row r="8" spans="1:22" ht="18">
      <c r="A8" s="1282"/>
      <c r="B8" s="1282"/>
      <c r="C8" s="1282"/>
      <c r="D8" s="1282"/>
      <c r="E8" s="1282"/>
      <c r="F8" s="1282"/>
      <c r="G8" s="1282"/>
      <c r="H8" s="1282"/>
      <c r="I8" s="1282"/>
      <c r="J8" s="1282"/>
      <c r="K8" s="1282"/>
      <c r="L8" s="375"/>
      <c r="M8" s="376"/>
    </row>
    <row r="9" spans="1:22" ht="18">
      <c r="A9" s="128"/>
      <c r="B9" s="128"/>
      <c r="C9" s="128"/>
      <c r="D9" s="128"/>
      <c r="E9" s="128"/>
      <c r="F9" s="128"/>
      <c r="G9" s="128"/>
      <c r="H9" s="128"/>
      <c r="I9" s="128"/>
      <c r="J9" s="128"/>
      <c r="K9" s="128"/>
      <c r="L9" s="375"/>
      <c r="M9" s="376"/>
    </row>
    <row r="10" spans="1:22" ht="15.75">
      <c r="A10" s="377" t="s">
        <v>169</v>
      </c>
      <c r="B10" s="375"/>
      <c r="C10" s="27"/>
      <c r="D10" s="27"/>
      <c r="E10" s="27"/>
      <c r="F10" s="27"/>
      <c r="G10" s="378"/>
      <c r="H10" s="378"/>
      <c r="I10" s="377" t="s">
        <v>182</v>
      </c>
      <c r="J10" s="377" t="s">
        <v>28</v>
      </c>
      <c r="K10" s="379"/>
      <c r="N10" s="380"/>
      <c r="P10" s="380"/>
      <c r="R10" s="380"/>
      <c r="S10" s="380"/>
      <c r="T10" s="380"/>
      <c r="U10" s="11"/>
      <c r="V10" s="11"/>
    </row>
    <row r="11" spans="1:22" ht="15.75">
      <c r="A11" s="377" t="s">
        <v>106</v>
      </c>
      <c r="B11" s="1283" t="s">
        <v>167</v>
      </c>
      <c r="C11" s="1283"/>
      <c r="D11" s="1283"/>
      <c r="E11" s="1283"/>
      <c r="F11" s="1283"/>
      <c r="G11" s="1283"/>
      <c r="H11" s="1283"/>
      <c r="I11" s="377" t="s">
        <v>183</v>
      </c>
      <c r="J11" s="377" t="s">
        <v>115</v>
      </c>
      <c r="K11" s="377" t="s">
        <v>115</v>
      </c>
      <c r="N11" s="380"/>
      <c r="O11" s="380"/>
      <c r="P11" s="380"/>
      <c r="Q11" s="380"/>
      <c r="R11" s="380"/>
      <c r="S11" s="380"/>
      <c r="T11" s="381"/>
      <c r="U11" s="11"/>
      <c r="V11" s="11"/>
    </row>
    <row r="12" spans="1:22" ht="15.75">
      <c r="A12" s="378"/>
      <c r="B12" s="382"/>
      <c r="C12" s="375"/>
      <c r="D12" s="378"/>
      <c r="E12" s="378"/>
      <c r="F12" s="378"/>
      <c r="G12" s="378"/>
      <c r="H12" s="378"/>
      <c r="I12" s="378"/>
      <c r="J12" s="378"/>
      <c r="K12" s="383"/>
      <c r="N12" s="380"/>
      <c r="O12" s="380"/>
      <c r="P12" s="380"/>
      <c r="Q12" s="380"/>
      <c r="R12" s="380"/>
      <c r="S12" s="380"/>
      <c r="T12" s="381"/>
      <c r="U12" s="11"/>
      <c r="V12" s="11"/>
    </row>
    <row r="13" spans="1:22" s="388" customFormat="1" ht="12.75">
      <c r="A13" s="384">
        <v>1</v>
      </c>
      <c r="B13" s="385" t="s">
        <v>482</v>
      </c>
      <c r="C13" s="3"/>
      <c r="D13" s="386"/>
      <c r="E13" s="386"/>
      <c r="F13" s="386"/>
      <c r="G13" s="386"/>
      <c r="H13" s="386"/>
      <c r="I13" s="613">
        <v>167930.00000000041</v>
      </c>
      <c r="J13" s="387">
        <f>+I13-K12</f>
        <v>167930.00000000041</v>
      </c>
      <c r="K13" s="613">
        <v>0</v>
      </c>
      <c r="N13" s="3"/>
      <c r="O13" s="3"/>
      <c r="P13" s="3"/>
      <c r="Q13" s="3"/>
      <c r="R13" s="3"/>
      <c r="S13" s="3"/>
      <c r="T13" s="76"/>
      <c r="U13" s="3"/>
      <c r="V13" s="3"/>
    </row>
    <row r="14" spans="1:22" s="388" customFormat="1" ht="12.75">
      <c r="A14" s="389"/>
      <c r="B14" s="390"/>
      <c r="C14" s="391"/>
      <c r="D14" s="392"/>
      <c r="E14" s="392"/>
      <c r="F14" s="392"/>
      <c r="G14" s="392"/>
      <c r="H14" s="386"/>
      <c r="I14" s="393"/>
      <c r="J14" s="386"/>
      <c r="K14" s="393"/>
      <c r="N14" s="3"/>
      <c r="O14" s="3"/>
      <c r="P14" s="3"/>
      <c r="Q14" s="3"/>
      <c r="R14" s="3"/>
      <c r="S14" s="3"/>
      <c r="T14" s="76"/>
      <c r="U14" s="3"/>
      <c r="V14" s="3"/>
    </row>
    <row r="15" spans="1:22" s="388" customFormat="1" ht="12.75">
      <c r="A15" s="384">
        <f>+A13+1</f>
        <v>2</v>
      </c>
      <c r="B15" s="385" t="s">
        <v>483</v>
      </c>
      <c r="C15" s="3"/>
      <c r="D15" s="386"/>
      <c r="E15" s="386"/>
      <c r="F15" s="386"/>
      <c r="G15" s="386"/>
      <c r="H15" s="386"/>
      <c r="I15" s="613">
        <v>66230.000000000029</v>
      </c>
      <c r="J15" s="387">
        <f>+I15-K15</f>
        <v>66230.000000000029</v>
      </c>
      <c r="K15" s="613">
        <v>0</v>
      </c>
      <c r="N15" s="3"/>
      <c r="O15" s="3"/>
      <c r="P15" s="3"/>
      <c r="Q15" s="3"/>
      <c r="R15" s="3"/>
      <c r="S15" s="3"/>
      <c r="T15" s="3"/>
      <c r="U15" s="3"/>
      <c r="V15" s="3"/>
    </row>
    <row r="16" spans="1:22" s="388" customFormat="1" ht="12.75">
      <c r="A16" s="389"/>
      <c r="B16" s="390"/>
      <c r="C16" s="391"/>
      <c r="D16" s="392"/>
      <c r="E16" s="392"/>
      <c r="F16" s="392"/>
      <c r="G16" s="392"/>
      <c r="H16" s="386"/>
      <c r="I16" s="386"/>
      <c r="J16" s="386"/>
      <c r="K16" s="386"/>
      <c r="N16" s="3"/>
      <c r="O16" s="3"/>
      <c r="P16" s="3"/>
      <c r="Q16" s="3"/>
      <c r="R16" s="3"/>
      <c r="S16" s="3"/>
      <c r="T16" s="3"/>
      <c r="U16" s="3"/>
      <c r="V16" s="3"/>
    </row>
    <row r="17" spans="1:22" s="388" customFormat="1" ht="12.75">
      <c r="A17" s="384">
        <f>+A15+1</f>
        <v>3</v>
      </c>
      <c r="B17" s="385" t="s">
        <v>484</v>
      </c>
      <c r="C17" s="3"/>
      <c r="D17" s="386"/>
      <c r="E17" s="386"/>
      <c r="F17" s="386"/>
      <c r="G17" s="386"/>
      <c r="H17" s="386"/>
      <c r="I17" s="613">
        <v>1453392.7337339993</v>
      </c>
      <c r="J17" s="387">
        <f>+I17-K17</f>
        <v>1027707.7471044383</v>
      </c>
      <c r="K17" s="613">
        <v>425684.986629561</v>
      </c>
      <c r="N17" s="3"/>
      <c r="O17" s="3"/>
      <c r="P17" s="3"/>
      <c r="Q17" s="3"/>
      <c r="R17" s="3"/>
      <c r="S17" s="3"/>
      <c r="T17" s="3"/>
      <c r="U17" s="3"/>
      <c r="V17" s="3"/>
    </row>
    <row r="18" spans="1:22" s="388" customFormat="1" ht="12.75">
      <c r="A18" s="389"/>
      <c r="B18" s="386"/>
      <c r="C18" s="3"/>
      <c r="D18" s="386"/>
      <c r="E18" s="386"/>
      <c r="F18" s="386"/>
      <c r="G18" s="394"/>
      <c r="H18" s="386"/>
      <c r="I18" s="386"/>
      <c r="J18" s="386"/>
      <c r="K18" s="386" t="s">
        <v>114</v>
      </c>
      <c r="N18" s="3"/>
      <c r="O18" s="3"/>
      <c r="P18" s="3"/>
      <c r="Q18" s="3"/>
      <c r="R18" s="3"/>
      <c r="S18" s="3"/>
      <c r="T18" s="3"/>
      <c r="U18" s="3"/>
      <c r="V18" s="3"/>
    </row>
    <row r="19" spans="1:22" s="388" customFormat="1" ht="12.75">
      <c r="A19" s="384">
        <f>+A17+1</f>
        <v>4</v>
      </c>
      <c r="B19" s="385" t="s">
        <v>754</v>
      </c>
      <c r="C19" s="3"/>
      <c r="D19" s="386"/>
      <c r="E19" s="386"/>
      <c r="F19" s="386"/>
      <c r="G19" s="394"/>
      <c r="H19" s="386"/>
      <c r="I19" s="613">
        <v>155781.00000000003</v>
      </c>
      <c r="J19" s="387">
        <f>+I19-K19</f>
        <v>155781.00000000003</v>
      </c>
      <c r="K19" s="613">
        <v>0</v>
      </c>
      <c r="N19" s="396"/>
      <c r="O19" s="3"/>
      <c r="P19" s="3"/>
      <c r="Q19" s="3"/>
      <c r="R19" s="3"/>
      <c r="S19" s="3"/>
      <c r="T19" s="3"/>
      <c r="U19" s="3"/>
      <c r="V19" s="3"/>
    </row>
    <row r="20" spans="1:22" s="388" customFormat="1" ht="12.75">
      <c r="A20" s="389"/>
      <c r="B20" s="385"/>
      <c r="C20" s="3"/>
      <c r="D20" s="386"/>
      <c r="E20" s="386"/>
      <c r="F20" s="386"/>
      <c r="G20" s="394"/>
      <c r="H20" s="386"/>
      <c r="I20" s="3"/>
      <c r="J20" s="3"/>
      <c r="K20" s="3" t="s">
        <v>114</v>
      </c>
      <c r="L20" s="3"/>
      <c r="N20" s="396"/>
      <c r="O20" s="3"/>
      <c r="P20" s="3"/>
      <c r="Q20" s="3"/>
      <c r="R20" s="3"/>
      <c r="S20" s="3"/>
      <c r="T20" s="3"/>
      <c r="U20" s="3"/>
      <c r="V20" s="3"/>
    </row>
    <row r="21" spans="1:22" s="388" customFormat="1" ht="12.75">
      <c r="A21" s="384">
        <f>+A19+1</f>
        <v>5</v>
      </c>
      <c r="B21" s="385" t="s">
        <v>755</v>
      </c>
      <c r="C21" s="3"/>
      <c r="D21" s="386"/>
      <c r="E21" s="386"/>
      <c r="F21" s="386"/>
      <c r="G21" s="394"/>
      <c r="H21" s="386"/>
      <c r="I21" s="613">
        <v>7535350.0479140002</v>
      </c>
      <c r="J21" s="387">
        <f>+I21-K21</f>
        <v>4562904.9008841226</v>
      </c>
      <c r="K21" s="613">
        <v>2972445.1470298776</v>
      </c>
      <c r="N21" s="396"/>
      <c r="O21" s="3"/>
      <c r="P21" s="3"/>
      <c r="Q21" s="3"/>
      <c r="R21" s="3"/>
      <c r="S21" s="3"/>
      <c r="T21" s="3"/>
      <c r="U21" s="3"/>
      <c r="V21" s="3"/>
    </row>
    <row r="22" spans="1:22" s="388" customFormat="1" ht="12.75">
      <c r="A22" s="384"/>
      <c r="B22" s="385"/>
      <c r="C22" s="3"/>
      <c r="D22" s="386"/>
      <c r="E22" s="386"/>
      <c r="F22" s="386"/>
      <c r="G22" s="394"/>
      <c r="H22" s="386"/>
      <c r="I22" s="644"/>
      <c r="J22" s="387"/>
      <c r="K22" s="644"/>
      <c r="N22" s="396"/>
      <c r="O22" s="3"/>
      <c r="P22" s="3"/>
      <c r="Q22" s="3"/>
      <c r="R22" s="3"/>
      <c r="S22" s="3"/>
      <c r="T22" s="3"/>
      <c r="U22" s="3"/>
      <c r="V22" s="3"/>
    </row>
    <row r="23" spans="1:22" s="388" customFormat="1" ht="12.75">
      <c r="A23" s="384" t="s">
        <v>613</v>
      </c>
      <c r="B23" s="385" t="s">
        <v>616</v>
      </c>
      <c r="C23" s="3"/>
      <c r="D23" s="386"/>
      <c r="E23" s="386"/>
      <c r="F23" s="386"/>
      <c r="G23" s="394"/>
      <c r="H23" s="386"/>
      <c r="I23" s="613"/>
      <c r="J23" s="387">
        <v>0</v>
      </c>
      <c r="K23" s="613"/>
      <c r="N23" s="396"/>
      <c r="O23" s="3"/>
      <c r="P23" s="3"/>
      <c r="Q23" s="3"/>
      <c r="R23" s="3"/>
      <c r="S23" s="3"/>
      <c r="T23" s="3"/>
      <c r="U23" s="3"/>
      <c r="V23" s="3"/>
    </row>
    <row r="24" spans="1:22" s="388" customFormat="1" ht="12.75">
      <c r="A24" s="384"/>
      <c r="B24" s="385"/>
      <c r="C24" s="3"/>
      <c r="D24" s="386"/>
      <c r="E24" s="386"/>
      <c r="F24" s="386"/>
      <c r="G24" s="394"/>
      <c r="H24" s="386"/>
      <c r="I24" s="644"/>
      <c r="J24" s="387"/>
      <c r="K24" s="644"/>
      <c r="N24" s="396"/>
      <c r="O24" s="3"/>
      <c r="P24" s="3"/>
      <c r="Q24" s="3"/>
      <c r="R24" s="3"/>
      <c r="S24" s="3"/>
      <c r="T24" s="3"/>
      <c r="U24" s="3"/>
      <c r="V24" s="3"/>
    </row>
    <row r="25" spans="1:22" s="388" customFormat="1" ht="12.75">
      <c r="A25" s="384" t="s">
        <v>614</v>
      </c>
      <c r="B25" s="385" t="s">
        <v>615</v>
      </c>
      <c r="C25" s="3"/>
      <c r="D25" s="386"/>
      <c r="E25" s="386"/>
      <c r="F25" s="386"/>
      <c r="G25" s="394"/>
      <c r="H25" s="386"/>
      <c r="I25" s="613"/>
      <c r="J25" s="387">
        <v>0</v>
      </c>
      <c r="K25" s="613"/>
      <c r="N25" s="396"/>
      <c r="O25" s="3"/>
      <c r="P25" s="3"/>
      <c r="Q25" s="3"/>
      <c r="R25" s="3"/>
      <c r="S25" s="3"/>
      <c r="T25" s="3"/>
      <c r="U25" s="3"/>
      <c r="V25" s="3"/>
    </row>
    <row r="26" spans="1:22" s="388" customFormat="1" ht="12.75">
      <c r="A26" s="384"/>
      <c r="B26" s="385"/>
      <c r="C26" s="3"/>
      <c r="D26" s="386"/>
      <c r="E26" s="386"/>
      <c r="F26" s="386"/>
      <c r="G26" s="394"/>
      <c r="H26" s="386"/>
      <c r="I26" s="3"/>
      <c r="J26" s="3"/>
      <c r="N26" s="3"/>
      <c r="O26" s="3"/>
      <c r="P26" s="3"/>
      <c r="Q26" s="3"/>
      <c r="R26" s="3"/>
      <c r="S26" s="3"/>
      <c r="T26" s="3"/>
      <c r="U26" s="3"/>
      <c r="V26" s="3"/>
    </row>
    <row r="27" spans="1:22" s="388" customFormat="1" ht="12.75">
      <c r="A27" s="384">
        <f>+A21+1</f>
        <v>6</v>
      </c>
      <c r="B27" s="385" t="s">
        <v>74</v>
      </c>
      <c r="C27" s="3"/>
      <c r="D27" s="386"/>
      <c r="E27" s="386"/>
      <c r="F27" s="386"/>
      <c r="G27" s="394"/>
      <c r="H27" s="386"/>
      <c r="I27" s="397">
        <f>+I21+I19+I17+I15+I13+I23+I25</f>
        <v>9378683.7816479988</v>
      </c>
      <c r="J27" s="397">
        <f>+J21+J19+J17+J15+J13+J23+J25</f>
        <v>5980553.6479885606</v>
      </c>
      <c r="K27" s="397">
        <f>+K21+K19+K17+K15+K13+K23+K25</f>
        <v>3398130.1336594387</v>
      </c>
      <c r="N27" s="3"/>
      <c r="O27" s="3"/>
      <c r="P27" s="3"/>
      <c r="Q27" s="3"/>
      <c r="R27" s="3"/>
      <c r="S27" s="3"/>
      <c r="T27" s="3"/>
      <c r="U27" s="3"/>
      <c r="V27" s="3"/>
    </row>
    <row r="28" spans="1:22" s="388" customFormat="1" ht="12.75">
      <c r="A28" s="384"/>
      <c r="B28" s="385"/>
      <c r="C28" s="3"/>
      <c r="D28" s="386"/>
      <c r="E28" s="386"/>
      <c r="F28" s="386"/>
      <c r="G28" s="394"/>
      <c r="H28" s="386"/>
      <c r="I28" s="3"/>
      <c r="J28" s="3"/>
      <c r="K28" s="3"/>
      <c r="N28" s="3"/>
      <c r="O28" s="3"/>
      <c r="P28" s="3"/>
      <c r="Q28" s="3"/>
      <c r="R28" s="3"/>
      <c r="S28" s="3"/>
      <c r="T28" s="3"/>
      <c r="U28" s="3"/>
      <c r="V28" s="3"/>
    </row>
    <row r="29" spans="1:22" s="388" customFormat="1" ht="12.75">
      <c r="A29" s="384">
        <f>+A27+1</f>
        <v>7</v>
      </c>
      <c r="B29" s="1281" t="s">
        <v>485</v>
      </c>
      <c r="C29" s="1228"/>
      <c r="D29" s="1228"/>
      <c r="E29" s="1228"/>
      <c r="F29" s="1228"/>
      <c r="G29" s="1228"/>
      <c r="H29" s="386"/>
      <c r="I29" s="613"/>
      <c r="J29" s="387">
        <f>+I29-K29</f>
        <v>0</v>
      </c>
      <c r="K29" s="613"/>
      <c r="N29" s="3"/>
      <c r="O29" s="3"/>
      <c r="P29" s="3"/>
      <c r="Q29" s="3"/>
      <c r="R29" s="3"/>
      <c r="S29" s="3"/>
      <c r="T29" s="3"/>
      <c r="U29" s="3"/>
      <c r="V29" s="3"/>
    </row>
    <row r="30" spans="1:22" s="388" customFormat="1" ht="12.75">
      <c r="A30" s="76"/>
      <c r="B30" s="1228"/>
      <c r="C30" s="1228"/>
      <c r="D30" s="1228"/>
      <c r="E30" s="1228"/>
      <c r="F30" s="1228"/>
      <c r="G30" s="1228"/>
      <c r="H30" s="386"/>
      <c r="I30" s="387"/>
      <c r="J30" s="386"/>
      <c r="K30" s="387"/>
      <c r="N30" s="3"/>
      <c r="O30" s="3"/>
      <c r="P30" s="3"/>
      <c r="Q30" s="3"/>
      <c r="R30" s="3"/>
      <c r="S30" s="3"/>
      <c r="T30" s="3"/>
      <c r="U30" s="3"/>
      <c r="V30" s="3"/>
    </row>
    <row r="31" spans="1:22" s="388" customFormat="1" ht="12.75">
      <c r="A31" s="384">
        <f>+A29+1</f>
        <v>8</v>
      </c>
      <c r="B31" s="390" t="s">
        <v>215</v>
      </c>
      <c r="C31" s="391"/>
      <c r="D31" s="392"/>
      <c r="E31" s="392"/>
      <c r="F31" s="392"/>
      <c r="G31" s="395"/>
      <c r="H31" s="386"/>
      <c r="I31" s="398">
        <f>SUM(I27:I29)</f>
        <v>9378683.7816479988</v>
      </c>
      <c r="J31" s="398">
        <f>SUM(J27:J29)</f>
        <v>5980553.6479885606</v>
      </c>
      <c r="K31" s="398">
        <f>SUM(K27:K29)</f>
        <v>3398130.1336594387</v>
      </c>
      <c r="N31" s="3"/>
      <c r="O31" s="3"/>
      <c r="P31" s="3"/>
      <c r="Q31" s="3"/>
      <c r="R31" s="3"/>
      <c r="S31" s="3"/>
      <c r="T31" s="3"/>
      <c r="U31" s="3"/>
      <c r="V31" s="3"/>
    </row>
    <row r="32" spans="1:22" s="388" customFormat="1" ht="12.75">
      <c r="A32" s="384"/>
      <c r="B32" s="390"/>
      <c r="C32" s="391"/>
      <c r="D32" s="392"/>
      <c r="E32" s="392"/>
      <c r="F32" s="392"/>
      <c r="G32" s="395"/>
      <c r="H32" s="386"/>
      <c r="I32" s="387"/>
      <c r="J32" s="387"/>
      <c r="K32" s="387"/>
      <c r="N32" s="3"/>
      <c r="O32" s="3"/>
      <c r="P32" s="3"/>
      <c r="Q32" s="3"/>
      <c r="R32" s="3"/>
      <c r="S32" s="3"/>
      <c r="T32" s="3"/>
      <c r="U32" s="3"/>
      <c r="V32" s="3"/>
    </row>
    <row r="33" spans="1:22" s="388" customFormat="1" ht="12.75">
      <c r="A33" s="384"/>
      <c r="B33" s="390"/>
      <c r="C33" s="391"/>
      <c r="D33" s="392"/>
      <c r="E33" s="392"/>
      <c r="F33" s="392"/>
      <c r="G33" s="395"/>
      <c r="H33" s="386"/>
      <c r="I33" s="387"/>
      <c r="J33" s="387"/>
      <c r="K33" s="387"/>
      <c r="N33" s="3"/>
      <c r="O33" s="3"/>
      <c r="P33" s="3"/>
      <c r="Q33" s="3"/>
      <c r="R33" s="3"/>
      <c r="S33" s="3"/>
      <c r="T33" s="3"/>
      <c r="U33" s="3"/>
      <c r="V33" s="3"/>
    </row>
    <row r="34" spans="1:22" s="388" customFormat="1" ht="12.75">
      <c r="A34" s="815"/>
      <c r="N34" s="3"/>
      <c r="O34" s="3"/>
      <c r="P34" s="3"/>
      <c r="Q34" s="3"/>
      <c r="R34" s="3"/>
      <c r="S34" s="3"/>
      <c r="T34" s="3"/>
      <c r="U34" s="3"/>
      <c r="V34" s="3"/>
    </row>
    <row r="35" spans="1:22">
      <c r="A35" s="816"/>
      <c r="B35" s="3"/>
      <c r="C35" s="385"/>
      <c r="D35" s="386"/>
      <c r="E35" s="386"/>
      <c r="F35" s="386"/>
      <c r="G35" s="394"/>
      <c r="H35" s="386"/>
      <c r="I35" s="386"/>
      <c r="J35" s="386"/>
      <c r="K35" s="386"/>
      <c r="L35" s="378"/>
      <c r="M35" s="399"/>
      <c r="N35" s="11"/>
      <c r="O35" s="27"/>
      <c r="P35" s="27"/>
      <c r="Q35" s="27"/>
      <c r="R35" s="27"/>
      <c r="S35" s="11"/>
      <c r="T35" s="11"/>
      <c r="U35" s="11"/>
      <c r="V35" s="11"/>
    </row>
    <row r="36" spans="1:22" ht="15" customHeight="1">
      <c r="A36" s="76" t="s">
        <v>499</v>
      </c>
      <c r="B36" s="1280"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WHEELING POWER COMPANY's general ledger. The functional amounts identified as transmission revenue also come from the general ledger. </v>
      </c>
      <c r="C36" s="1280"/>
      <c r="D36" s="1280"/>
      <c r="E36" s="1280"/>
      <c r="F36" s="1280"/>
      <c r="G36" s="1280"/>
      <c r="H36" s="1280"/>
      <c r="I36" s="1280"/>
      <c r="J36" s="1280"/>
      <c r="K36" s="3"/>
      <c r="L36" s="27"/>
      <c r="M36" s="27"/>
      <c r="N36" s="11"/>
      <c r="O36" s="27"/>
      <c r="P36" s="27"/>
      <c r="Q36" s="27"/>
      <c r="R36" s="27"/>
      <c r="S36" s="11"/>
      <c r="T36" s="380"/>
      <c r="U36" s="11"/>
      <c r="V36" s="11"/>
    </row>
    <row r="37" spans="1:22" ht="15.75">
      <c r="A37" s="76"/>
      <c r="B37" s="1280"/>
      <c r="C37" s="1280"/>
      <c r="D37" s="1280"/>
      <c r="E37" s="1280"/>
      <c r="F37" s="1280"/>
      <c r="G37" s="1280"/>
      <c r="H37" s="1280"/>
      <c r="I37" s="1280"/>
      <c r="J37" s="1280"/>
      <c r="K37" s="3"/>
      <c r="L37" s="11"/>
      <c r="M37" s="401"/>
      <c r="N37" s="401"/>
      <c r="O37" s="401"/>
      <c r="P37" s="401"/>
      <c r="Q37" s="401"/>
      <c r="R37" s="11"/>
      <c r="S37" s="11"/>
      <c r="T37" s="11"/>
      <c r="U37" s="11"/>
      <c r="V37" s="11"/>
    </row>
    <row r="38" spans="1:22" ht="15.75">
      <c r="A38" s="76" t="s">
        <v>611</v>
      </c>
      <c r="B38" s="814" t="s">
        <v>612</v>
      </c>
      <c r="C38" s="400"/>
      <c r="D38" s="400"/>
      <c r="E38" s="400"/>
      <c r="F38" s="400"/>
      <c r="G38" s="400"/>
      <c r="H38" s="400"/>
      <c r="I38" s="400"/>
      <c r="J38" s="400"/>
      <c r="K38" s="136"/>
      <c r="L38" s="11"/>
      <c r="M38" s="401"/>
      <c r="N38" s="401"/>
      <c r="O38" s="401"/>
      <c r="P38" s="401"/>
      <c r="Q38" s="401"/>
      <c r="R38" s="11"/>
      <c r="S38" s="11"/>
      <c r="T38" s="11"/>
      <c r="U38" s="11"/>
      <c r="V38" s="11"/>
    </row>
    <row r="39" spans="1:22" ht="15.75">
      <c r="A39" s="384">
        <f>+A31+1</f>
        <v>9</v>
      </c>
      <c r="B39" s="385" t="s">
        <v>534</v>
      </c>
      <c r="C39" s="3"/>
      <c r="D39" s="386"/>
      <c r="E39" s="386"/>
      <c r="F39" s="386"/>
      <c r="G39" s="394"/>
      <c r="H39" s="386"/>
      <c r="I39" s="387"/>
      <c r="J39" s="387"/>
      <c r="K39" s="613">
        <v>0</v>
      </c>
      <c r="L39" s="11"/>
      <c r="M39" s="401"/>
      <c r="N39" s="401"/>
      <c r="O39" s="401"/>
      <c r="P39" s="401"/>
      <c r="Q39" s="401"/>
      <c r="R39" s="11"/>
      <c r="S39" s="11"/>
      <c r="T39" s="11"/>
      <c r="U39" s="11"/>
      <c r="V39" s="11"/>
    </row>
    <row r="40" spans="1:22" ht="15.75">
      <c r="A40" s="11"/>
      <c r="B40" s="11"/>
      <c r="E40" s="401"/>
      <c r="F40" s="401"/>
      <c r="G40" s="401"/>
      <c r="H40" s="401"/>
      <c r="I40" s="402"/>
      <c r="J40" s="401"/>
      <c r="K40" s="401"/>
      <c r="L40" s="11"/>
      <c r="M40" s="401"/>
      <c r="N40" s="401"/>
      <c r="O40" s="401"/>
      <c r="P40" s="401"/>
      <c r="Q40" s="401"/>
      <c r="R40" s="11"/>
      <c r="S40" s="11"/>
      <c r="T40" s="11"/>
      <c r="U40" s="11"/>
      <c r="V40" s="11"/>
    </row>
    <row r="41" spans="1:22" ht="15.75">
      <c r="A41" s="11"/>
      <c r="B41" s="11"/>
      <c r="E41" s="401"/>
      <c r="F41" s="401"/>
      <c r="G41" s="401"/>
      <c r="H41" s="401"/>
      <c r="I41" s="401" t="s">
        <v>114</v>
      </c>
      <c r="J41" s="401"/>
      <c r="K41" s="401"/>
      <c r="L41" s="11"/>
      <c r="M41" s="401"/>
      <c r="N41" s="401"/>
      <c r="O41" s="401"/>
      <c r="P41" s="401"/>
      <c r="Q41" s="401"/>
      <c r="R41" s="11"/>
      <c r="S41" s="11"/>
      <c r="T41" s="11"/>
      <c r="U41" s="11"/>
      <c r="V41" s="11"/>
    </row>
    <row r="42" spans="1:22" ht="15.75">
      <c r="A42" s="11"/>
      <c r="B42" s="11"/>
      <c r="E42" s="401"/>
      <c r="F42" s="401"/>
      <c r="G42" s="401"/>
      <c r="H42" s="401"/>
      <c r="I42" s="401" t="s">
        <v>114</v>
      </c>
      <c r="J42" s="401"/>
      <c r="K42" s="401"/>
      <c r="L42" s="11"/>
      <c r="M42" s="401"/>
      <c r="N42" s="401"/>
      <c r="O42" s="401"/>
      <c r="P42" s="401"/>
      <c r="Q42" s="401"/>
      <c r="R42" s="11"/>
      <c r="S42" s="11"/>
      <c r="T42" s="11"/>
      <c r="U42" s="11"/>
      <c r="V42" s="11"/>
    </row>
    <row r="43" spans="1:22" ht="15.75">
      <c r="A43" s="11"/>
      <c r="B43" s="11"/>
      <c r="E43" s="401"/>
      <c r="F43" s="401"/>
      <c r="G43" s="401"/>
      <c r="H43" s="401"/>
      <c r="I43" s="401"/>
      <c r="J43" s="401"/>
      <c r="K43" s="401"/>
      <c r="L43" s="11"/>
      <c r="M43" s="401"/>
      <c r="N43" s="401"/>
      <c r="O43" s="401"/>
      <c r="P43" s="401"/>
      <c r="Q43" s="401"/>
      <c r="R43" s="11"/>
      <c r="S43" s="11"/>
      <c r="T43" s="11"/>
      <c r="U43" s="11"/>
      <c r="V43" s="11"/>
    </row>
    <row r="44" spans="1:22" ht="15.75">
      <c r="A44" s="11"/>
      <c r="B44" s="11"/>
      <c r="E44" s="401"/>
      <c r="F44" s="401"/>
      <c r="G44" s="401"/>
      <c r="H44" s="401"/>
      <c r="I44" s="401"/>
      <c r="J44" s="401"/>
      <c r="K44" s="401"/>
      <c r="L44" s="11"/>
      <c r="M44" s="401"/>
      <c r="N44" s="401"/>
      <c r="O44" s="401"/>
      <c r="P44" s="401"/>
      <c r="Q44" s="401"/>
      <c r="R44" s="11"/>
      <c r="S44" s="11"/>
      <c r="T44" s="11"/>
      <c r="U44" s="11"/>
      <c r="V44" s="11"/>
    </row>
    <row r="45" spans="1:22" ht="15.75">
      <c r="A45" s="11"/>
      <c r="B45" s="11"/>
      <c r="E45" s="401"/>
      <c r="F45" s="401"/>
      <c r="G45" s="401"/>
      <c r="H45" s="401"/>
      <c r="I45" s="401"/>
      <c r="J45" s="401"/>
      <c r="K45" s="401"/>
      <c r="L45" s="11"/>
      <c r="M45" s="401"/>
      <c r="N45" s="401"/>
      <c r="O45" s="401"/>
      <c r="P45" s="401"/>
      <c r="Q45" s="401"/>
      <c r="R45" s="11"/>
      <c r="S45" s="11"/>
      <c r="T45" s="11"/>
      <c r="U45" s="11"/>
      <c r="V45" s="11"/>
    </row>
    <row r="46" spans="1:22" ht="15.75">
      <c r="A46" s="11"/>
      <c r="B46" s="11"/>
      <c r="E46" s="401"/>
      <c r="F46" s="401"/>
      <c r="G46" s="401"/>
      <c r="H46" s="401"/>
      <c r="I46" s="401"/>
      <c r="J46" s="401"/>
      <c r="K46" s="401"/>
      <c r="L46" s="11"/>
      <c r="M46" s="401"/>
      <c r="N46" s="401"/>
      <c r="O46" s="401"/>
      <c r="P46" s="401"/>
      <c r="Q46" s="401"/>
      <c r="R46" s="11"/>
      <c r="S46" s="11"/>
      <c r="T46" s="11"/>
      <c r="U46" s="11"/>
      <c r="V46" s="11"/>
    </row>
    <row r="47" spans="1:22" ht="15.75">
      <c r="A47" s="11"/>
      <c r="B47" s="11"/>
      <c r="E47" s="401"/>
      <c r="F47" s="401"/>
      <c r="G47" s="401"/>
      <c r="H47" s="401"/>
      <c r="I47" s="401"/>
      <c r="J47" s="401"/>
      <c r="K47" s="401"/>
      <c r="L47" s="11"/>
      <c r="M47" s="401"/>
      <c r="N47" s="401"/>
      <c r="O47" s="401"/>
      <c r="P47" s="401"/>
      <c r="Q47" s="401"/>
      <c r="R47" s="11"/>
      <c r="S47" s="11"/>
      <c r="T47" s="11"/>
      <c r="U47" s="11"/>
      <c r="V47" s="11"/>
    </row>
    <row r="48" spans="1:22" ht="15.75">
      <c r="A48" s="11"/>
      <c r="B48" s="11"/>
      <c r="E48" s="401"/>
      <c r="F48" s="401"/>
      <c r="G48" s="401"/>
      <c r="H48" s="401"/>
      <c r="I48" s="401"/>
      <c r="J48" s="401"/>
      <c r="K48" s="401"/>
      <c r="L48" s="11"/>
      <c r="M48" s="401"/>
      <c r="N48" s="401"/>
      <c r="O48" s="401"/>
      <c r="P48" s="401"/>
      <c r="Q48" s="401"/>
      <c r="R48" s="11"/>
      <c r="S48" s="11"/>
      <c r="T48" s="11"/>
      <c r="U48" s="11"/>
      <c r="V48" s="11"/>
    </row>
    <row r="49" spans="1:22" ht="15.75">
      <c r="I49" s="401"/>
      <c r="J49" s="401"/>
      <c r="K49" s="401"/>
      <c r="L49" s="11"/>
      <c r="M49" s="401"/>
      <c r="N49" s="401"/>
      <c r="O49" s="401"/>
      <c r="P49" s="401"/>
      <c r="Q49" s="401"/>
      <c r="R49" s="11"/>
      <c r="S49" s="11"/>
      <c r="T49" s="11"/>
      <c r="U49" s="11"/>
      <c r="V49" s="11"/>
    </row>
    <row r="50" spans="1:22" ht="15.75">
      <c r="A50" s="11"/>
      <c r="B50" s="11"/>
      <c r="E50" s="401"/>
      <c r="F50" s="401"/>
      <c r="G50" s="401"/>
      <c r="H50" s="401"/>
      <c r="I50" s="401"/>
      <c r="J50" s="401"/>
      <c r="K50" s="401"/>
      <c r="L50" s="11"/>
      <c r="M50" s="401"/>
      <c r="N50" s="401"/>
      <c r="O50" s="401"/>
      <c r="P50" s="401"/>
      <c r="Q50" s="401"/>
      <c r="R50" s="11"/>
      <c r="S50" s="11"/>
      <c r="T50" s="11"/>
      <c r="U50" s="11"/>
      <c r="V50" s="11"/>
    </row>
    <row r="51" spans="1:22" ht="15.75">
      <c r="A51" s="11"/>
      <c r="B51" s="11"/>
      <c r="E51" s="401"/>
      <c r="F51" s="401"/>
      <c r="G51" s="401"/>
      <c r="H51" s="401"/>
      <c r="I51" s="401"/>
      <c r="J51" s="401"/>
      <c r="K51" s="401"/>
      <c r="L51" s="11"/>
      <c r="M51" s="401"/>
      <c r="N51" s="401"/>
      <c r="O51" s="401"/>
      <c r="P51" s="401"/>
      <c r="Q51" s="401"/>
      <c r="R51" s="11"/>
      <c r="S51" s="11"/>
      <c r="T51" s="11"/>
      <c r="U51" s="11"/>
      <c r="V51" s="11"/>
    </row>
    <row r="52" spans="1:22" ht="15.75">
      <c r="A52" s="11"/>
      <c r="B52" s="11"/>
      <c r="E52" s="401"/>
      <c r="F52" s="401"/>
      <c r="G52" s="401"/>
      <c r="H52" s="401"/>
      <c r="I52" s="401"/>
      <c r="J52" s="401"/>
      <c r="K52" s="401"/>
      <c r="L52" s="11"/>
      <c r="M52" s="401"/>
      <c r="N52" s="401"/>
      <c r="O52" s="401"/>
      <c r="P52" s="401"/>
      <c r="Q52" s="401"/>
      <c r="R52" s="11"/>
      <c r="S52" s="11"/>
      <c r="T52" s="11"/>
      <c r="U52" s="11"/>
      <c r="V52" s="11"/>
    </row>
    <row r="53" spans="1:22" ht="15.75">
      <c r="A53" s="11"/>
      <c r="B53" s="11"/>
      <c r="E53" s="401"/>
      <c r="F53" s="401"/>
      <c r="G53" s="401"/>
      <c r="H53" s="401"/>
      <c r="I53" s="401"/>
      <c r="J53" s="401"/>
      <c r="K53" s="401"/>
      <c r="L53" s="11"/>
      <c r="M53" s="401"/>
      <c r="N53" s="401"/>
      <c r="O53" s="401"/>
      <c r="P53" s="401"/>
      <c r="Q53" s="401"/>
      <c r="R53" s="11"/>
      <c r="S53" s="11"/>
      <c r="T53" s="11"/>
      <c r="U53" s="11"/>
      <c r="V53" s="11"/>
    </row>
    <row r="54" spans="1:22" ht="15.75">
      <c r="A54" s="11"/>
      <c r="B54" s="11"/>
      <c r="E54" s="401"/>
      <c r="F54" s="401"/>
      <c r="G54" s="401"/>
      <c r="H54" s="401"/>
      <c r="I54" s="401"/>
      <c r="J54" s="401"/>
      <c r="K54" s="401"/>
      <c r="L54" s="11"/>
      <c r="M54" s="401"/>
      <c r="N54" s="401"/>
      <c r="O54" s="401"/>
      <c r="P54" s="401"/>
      <c r="Q54" s="401"/>
      <c r="R54" s="11"/>
      <c r="S54" s="11"/>
      <c r="T54" s="11"/>
      <c r="U54" s="11"/>
      <c r="V54" s="11"/>
    </row>
    <row r="55" spans="1:22" ht="15.75">
      <c r="A55" s="11"/>
      <c r="B55" s="11"/>
      <c r="E55" s="401"/>
      <c r="F55" s="401"/>
      <c r="G55" s="401"/>
      <c r="H55" s="401"/>
      <c r="I55" s="401"/>
      <c r="J55" s="401"/>
      <c r="K55" s="401"/>
      <c r="L55" s="11"/>
      <c r="M55" s="401"/>
      <c r="N55" s="401"/>
      <c r="O55" s="401"/>
      <c r="P55" s="401"/>
      <c r="Q55" s="401"/>
      <c r="R55" s="11"/>
      <c r="S55" s="11"/>
      <c r="T55" s="11"/>
      <c r="U55" s="11"/>
      <c r="V55" s="11"/>
    </row>
    <row r="56" spans="1:22" ht="15.75">
      <c r="A56" s="11"/>
      <c r="B56" s="11"/>
      <c r="E56" s="401"/>
      <c r="F56" s="401"/>
      <c r="G56" s="401"/>
      <c r="H56" s="401"/>
      <c r="I56" s="401"/>
      <c r="J56" s="401"/>
      <c r="K56" s="401"/>
      <c r="L56" s="11"/>
      <c r="M56" s="401"/>
      <c r="N56" s="401"/>
      <c r="O56" s="401"/>
      <c r="P56" s="401"/>
      <c r="Q56" s="401"/>
      <c r="R56" s="11"/>
      <c r="S56" s="11"/>
      <c r="T56" s="11"/>
      <c r="U56" s="11"/>
      <c r="V56" s="11"/>
    </row>
    <row r="57" spans="1:22" ht="15.75">
      <c r="A57" s="11"/>
      <c r="B57" s="11"/>
      <c r="E57" s="401"/>
      <c r="F57" s="401"/>
      <c r="G57" s="401"/>
      <c r="H57" s="401"/>
      <c r="I57" s="401"/>
      <c r="J57" s="401"/>
      <c r="K57" s="401"/>
      <c r="L57" s="11"/>
      <c r="M57" s="401"/>
      <c r="N57" s="401"/>
      <c r="O57" s="401"/>
      <c r="P57" s="401"/>
      <c r="Q57" s="401"/>
      <c r="R57" s="11"/>
      <c r="S57" s="11"/>
      <c r="T57" s="11"/>
      <c r="U57" s="11"/>
      <c r="V57" s="11"/>
    </row>
    <row r="58" spans="1:22" ht="15.75">
      <c r="A58" s="11"/>
      <c r="B58" s="11"/>
      <c r="E58" s="401"/>
      <c r="F58" s="401"/>
      <c r="G58" s="401"/>
      <c r="H58" s="401"/>
      <c r="I58" s="401"/>
      <c r="J58" s="401"/>
      <c r="K58" s="401"/>
      <c r="L58" s="11"/>
      <c r="M58" s="401"/>
      <c r="N58" s="401"/>
      <c r="O58" s="401"/>
      <c r="P58" s="401"/>
      <c r="Q58" s="401"/>
      <c r="R58" s="11"/>
      <c r="S58" s="11"/>
      <c r="T58" s="11"/>
      <c r="U58" s="11"/>
      <c r="V58" s="11"/>
    </row>
    <row r="59" spans="1:22" ht="15.75">
      <c r="A59" s="11"/>
      <c r="B59" s="11"/>
      <c r="E59" s="401"/>
      <c r="F59" s="401"/>
      <c r="G59" s="401"/>
      <c r="H59" s="401"/>
      <c r="I59" s="401"/>
      <c r="J59" s="401"/>
      <c r="K59" s="401"/>
      <c r="L59" s="11"/>
      <c r="M59" s="401"/>
      <c r="N59" s="401"/>
      <c r="O59" s="401"/>
      <c r="P59" s="401"/>
      <c r="Q59" s="401"/>
      <c r="R59" s="11"/>
      <c r="S59" s="11"/>
      <c r="T59" s="11"/>
      <c r="U59" s="11"/>
      <c r="V59" s="11"/>
    </row>
    <row r="60" spans="1:22" ht="15.75">
      <c r="A60" s="11"/>
      <c r="B60" s="11"/>
      <c r="E60" s="401"/>
      <c r="F60" s="401"/>
      <c r="G60" s="401"/>
      <c r="H60" s="401"/>
      <c r="I60" s="401"/>
      <c r="J60" s="401"/>
      <c r="K60" s="401"/>
      <c r="L60" s="11"/>
      <c r="M60" s="401"/>
      <c r="N60" s="401"/>
      <c r="O60" s="401"/>
      <c r="P60" s="401"/>
      <c r="Q60" s="401"/>
      <c r="R60" s="11"/>
      <c r="S60" s="11"/>
      <c r="T60" s="11"/>
      <c r="U60" s="11"/>
      <c r="V60" s="11"/>
    </row>
    <row r="61" spans="1:22" ht="15.75">
      <c r="A61" s="11"/>
      <c r="B61" s="11"/>
      <c r="E61" s="401"/>
      <c r="F61" s="401"/>
      <c r="G61" s="401"/>
      <c r="H61" s="401"/>
      <c r="I61" s="401"/>
      <c r="J61" s="401"/>
      <c r="K61" s="401"/>
      <c r="L61" s="11"/>
      <c r="M61" s="401"/>
      <c r="N61" s="401"/>
      <c r="O61" s="401"/>
      <c r="P61" s="401"/>
      <c r="Q61" s="401"/>
      <c r="R61" s="11"/>
      <c r="S61" s="11"/>
      <c r="T61" s="11"/>
      <c r="U61" s="11"/>
      <c r="V61" s="11"/>
    </row>
    <row r="62" spans="1:22" ht="15.75">
      <c r="A62" s="11"/>
      <c r="B62" s="11"/>
      <c r="E62" s="401"/>
      <c r="F62" s="401"/>
      <c r="G62" s="401"/>
      <c r="H62" s="401"/>
      <c r="I62" s="401"/>
      <c r="J62" s="401"/>
      <c r="K62" s="401"/>
      <c r="L62" s="11"/>
      <c r="M62" s="401"/>
      <c r="N62" s="401"/>
      <c r="O62" s="401"/>
      <c r="P62" s="401"/>
      <c r="Q62" s="401"/>
      <c r="R62" s="11"/>
      <c r="S62" s="11"/>
      <c r="T62" s="11"/>
      <c r="U62" s="11"/>
      <c r="V62" s="11"/>
    </row>
    <row r="63" spans="1:22" ht="15.75">
      <c r="A63" s="11"/>
      <c r="B63" s="11"/>
      <c r="E63" s="401"/>
      <c r="F63" s="401"/>
      <c r="G63" s="401"/>
      <c r="H63" s="401"/>
      <c r="I63" s="401"/>
      <c r="J63" s="401"/>
      <c r="K63" s="401"/>
      <c r="L63" s="11"/>
      <c r="M63" s="401"/>
      <c r="N63" s="401"/>
      <c r="O63" s="401"/>
      <c r="P63" s="401"/>
      <c r="Q63" s="401"/>
      <c r="R63" s="11"/>
      <c r="S63" s="11"/>
      <c r="T63" s="11"/>
      <c r="U63" s="11"/>
      <c r="V63" s="11"/>
    </row>
    <row r="64" spans="1:22" ht="15.75">
      <c r="A64" s="11"/>
      <c r="B64" s="11"/>
      <c r="E64" s="401"/>
      <c r="F64" s="401"/>
      <c r="G64" s="401"/>
      <c r="H64" s="401"/>
      <c r="I64" s="401"/>
      <c r="J64" s="401"/>
      <c r="K64" s="401"/>
      <c r="L64" s="11"/>
      <c r="M64" s="401"/>
      <c r="N64" s="401"/>
      <c r="O64" s="401"/>
      <c r="P64" s="401"/>
      <c r="Q64" s="401"/>
      <c r="R64" s="11"/>
      <c r="S64" s="11"/>
      <c r="T64" s="11"/>
      <c r="U64" s="11"/>
      <c r="V64" s="11"/>
    </row>
    <row r="65" spans="1:22" ht="15.75">
      <c r="A65" s="11"/>
      <c r="B65" s="11"/>
      <c r="E65" s="401"/>
      <c r="F65" s="401"/>
      <c r="G65" s="401"/>
      <c r="H65" s="401"/>
      <c r="I65" s="401"/>
      <c r="J65" s="401"/>
      <c r="K65" s="401"/>
      <c r="L65" s="11"/>
      <c r="M65" s="401"/>
      <c r="N65" s="401"/>
      <c r="O65" s="401"/>
      <c r="P65" s="401"/>
      <c r="Q65" s="401"/>
      <c r="R65" s="11"/>
      <c r="S65" s="11"/>
      <c r="T65" s="11"/>
      <c r="U65" s="11"/>
      <c r="V65" s="11"/>
    </row>
    <row r="66" spans="1:22" ht="15.75">
      <c r="A66" s="11"/>
      <c r="B66" s="11"/>
      <c r="E66" s="401"/>
      <c r="F66" s="401"/>
      <c r="G66" s="401"/>
      <c r="H66" s="401"/>
      <c r="I66" s="401"/>
      <c r="J66" s="401"/>
      <c r="K66" s="401"/>
      <c r="L66" s="11"/>
      <c r="M66" s="401"/>
      <c r="N66" s="401"/>
      <c r="O66" s="401"/>
      <c r="P66" s="401"/>
      <c r="Q66" s="401"/>
      <c r="R66" s="11"/>
      <c r="S66" s="11"/>
      <c r="T66" s="11"/>
      <c r="U66" s="11"/>
      <c r="V66" s="11"/>
    </row>
    <row r="67" spans="1:22" ht="15.75">
      <c r="A67" s="11"/>
      <c r="B67" s="11"/>
      <c r="E67" s="401"/>
      <c r="F67" s="401"/>
      <c r="G67" s="401"/>
      <c r="H67" s="401"/>
      <c r="I67" s="401"/>
      <c r="J67" s="401"/>
      <c r="K67" s="401"/>
      <c r="L67" s="11"/>
      <c r="M67" s="401"/>
      <c r="N67" s="401"/>
      <c r="O67" s="401"/>
      <c r="P67" s="401"/>
      <c r="Q67" s="401"/>
      <c r="R67" s="11"/>
      <c r="S67" s="11"/>
      <c r="T67" s="11"/>
      <c r="U67" s="11"/>
      <c r="V67" s="11"/>
    </row>
    <row r="68" spans="1:22" ht="15.75">
      <c r="A68" s="11"/>
      <c r="B68" s="11"/>
      <c r="E68" s="401"/>
      <c r="F68" s="401"/>
      <c r="G68" s="401"/>
      <c r="H68" s="401"/>
      <c r="I68" s="401"/>
      <c r="J68" s="401"/>
      <c r="K68" s="401"/>
      <c r="L68" s="11"/>
      <c r="M68" s="401"/>
      <c r="N68" s="401"/>
      <c r="O68" s="401"/>
      <c r="P68" s="401"/>
      <c r="Q68" s="401"/>
      <c r="R68" s="11"/>
      <c r="S68" s="11"/>
      <c r="T68" s="11"/>
      <c r="U68" s="11"/>
      <c r="V68" s="11"/>
    </row>
    <row r="69" spans="1:22" ht="15.75">
      <c r="A69" s="11"/>
      <c r="B69" s="11"/>
      <c r="E69" s="401"/>
      <c r="F69" s="401"/>
      <c r="G69" s="401"/>
      <c r="H69" s="401"/>
      <c r="I69" s="401"/>
      <c r="J69" s="401"/>
      <c r="K69" s="401"/>
      <c r="L69" s="11"/>
      <c r="M69" s="401"/>
      <c r="N69" s="401"/>
      <c r="O69" s="401"/>
      <c r="P69" s="401"/>
      <c r="Q69" s="401"/>
      <c r="R69" s="11"/>
      <c r="S69" s="11"/>
      <c r="T69" s="11"/>
      <c r="U69" s="11"/>
      <c r="V69" s="11"/>
    </row>
    <row r="70" spans="1:22" ht="15.75">
      <c r="A70" s="11"/>
      <c r="B70" s="11"/>
      <c r="E70" s="401"/>
      <c r="F70" s="401"/>
      <c r="G70" s="401"/>
      <c r="H70" s="401"/>
      <c r="I70" s="401"/>
      <c r="J70" s="401"/>
      <c r="K70" s="401"/>
      <c r="L70" s="11"/>
      <c r="M70" s="401"/>
      <c r="N70" s="401"/>
      <c r="O70" s="401"/>
      <c r="P70" s="401"/>
      <c r="Q70" s="401"/>
      <c r="R70" s="11"/>
      <c r="S70" s="11"/>
      <c r="T70" s="11"/>
      <c r="U70" s="11"/>
      <c r="V70" s="11"/>
    </row>
    <row r="71" spans="1:22" ht="15.75">
      <c r="A71" s="11"/>
      <c r="B71" s="11"/>
      <c r="E71" s="401"/>
      <c r="F71" s="401"/>
      <c r="G71" s="401"/>
      <c r="H71" s="401"/>
      <c r="I71" s="401"/>
      <c r="J71" s="401"/>
      <c r="K71" s="401"/>
      <c r="L71" s="11"/>
      <c r="M71" s="401"/>
      <c r="N71" s="401"/>
      <c r="O71" s="401"/>
      <c r="P71" s="401"/>
      <c r="Q71" s="401"/>
      <c r="R71" s="11"/>
      <c r="S71" s="11"/>
      <c r="T71" s="11"/>
      <c r="U71" s="11"/>
      <c r="V71" s="11"/>
    </row>
    <row r="72" spans="1:22" ht="15.75">
      <c r="A72" s="11"/>
      <c r="B72" s="11"/>
      <c r="E72" s="401"/>
      <c r="F72" s="401"/>
      <c r="G72" s="401"/>
      <c r="H72" s="401"/>
      <c r="I72" s="401"/>
      <c r="J72" s="401"/>
      <c r="K72" s="401"/>
      <c r="L72" s="11"/>
      <c r="M72" s="401"/>
      <c r="N72" s="401"/>
      <c r="O72" s="401"/>
      <c r="P72" s="401"/>
      <c r="Q72" s="401"/>
      <c r="R72" s="11"/>
      <c r="S72" s="11"/>
      <c r="T72" s="11"/>
      <c r="U72" s="11"/>
      <c r="V72" s="11"/>
    </row>
    <row r="73" spans="1:22" ht="15.75">
      <c r="A73" s="11"/>
      <c r="B73" s="11"/>
      <c r="E73" s="401"/>
      <c r="F73" s="401"/>
      <c r="G73" s="401"/>
      <c r="H73" s="401"/>
      <c r="I73" s="401"/>
      <c r="J73" s="401"/>
      <c r="K73" s="401"/>
      <c r="L73" s="11"/>
      <c r="M73" s="401"/>
      <c r="N73" s="401"/>
      <c r="O73" s="401"/>
      <c r="P73" s="401"/>
      <c r="Q73" s="401"/>
      <c r="R73" s="11"/>
      <c r="S73" s="11"/>
      <c r="T73" s="11"/>
      <c r="U73" s="11"/>
      <c r="V73" s="11"/>
    </row>
    <row r="74" spans="1:22" ht="15.75">
      <c r="A74" s="11"/>
      <c r="B74" s="11"/>
      <c r="E74" s="401"/>
      <c r="F74" s="401"/>
      <c r="G74" s="401"/>
      <c r="H74" s="401"/>
      <c r="I74" s="401"/>
      <c r="J74" s="401"/>
      <c r="K74" s="401"/>
      <c r="L74" s="11"/>
      <c r="M74" s="401"/>
      <c r="N74" s="401"/>
      <c r="O74" s="401"/>
      <c r="P74" s="401"/>
      <c r="Q74" s="401"/>
      <c r="R74" s="11"/>
      <c r="S74" s="11"/>
      <c r="T74" s="11"/>
      <c r="U74" s="11"/>
      <c r="V74" s="11"/>
    </row>
    <row r="75" spans="1:22" ht="15.75">
      <c r="A75" s="11"/>
      <c r="B75" s="11"/>
      <c r="E75" s="401"/>
      <c r="F75" s="401"/>
      <c r="G75" s="401"/>
      <c r="H75" s="401"/>
      <c r="I75" s="401"/>
      <c r="J75" s="401"/>
      <c r="K75" s="401"/>
      <c r="L75" s="11"/>
      <c r="M75" s="401"/>
      <c r="N75" s="401"/>
      <c r="O75" s="401"/>
      <c r="P75" s="401"/>
      <c r="Q75" s="401"/>
      <c r="R75" s="11"/>
      <c r="S75" s="11"/>
      <c r="T75" s="11"/>
      <c r="U75" s="11"/>
      <c r="V75" s="11"/>
    </row>
    <row r="76" spans="1:22" ht="15.75">
      <c r="A76" s="11"/>
      <c r="B76" s="11"/>
      <c r="E76" s="401"/>
      <c r="F76" s="401"/>
      <c r="G76" s="401"/>
      <c r="H76" s="401"/>
      <c r="I76" s="401"/>
      <c r="J76" s="401"/>
      <c r="K76" s="401"/>
      <c r="L76" s="11"/>
      <c r="M76" s="401"/>
      <c r="N76" s="401"/>
      <c r="O76" s="401"/>
      <c r="P76" s="401"/>
      <c r="Q76" s="401"/>
      <c r="R76" s="11"/>
      <c r="S76" s="11"/>
      <c r="T76" s="11"/>
      <c r="U76" s="11"/>
      <c r="V76" s="11"/>
    </row>
    <row r="77" spans="1:22" ht="15.75">
      <c r="A77" s="11"/>
      <c r="B77" s="11"/>
      <c r="E77" s="401"/>
      <c r="F77" s="401"/>
      <c r="G77" s="401"/>
      <c r="H77" s="401"/>
      <c r="I77" s="401"/>
      <c r="J77" s="401"/>
      <c r="K77" s="401"/>
      <c r="L77" s="11"/>
      <c r="M77" s="401"/>
      <c r="N77" s="401"/>
      <c r="O77" s="401"/>
      <c r="P77" s="401"/>
      <c r="Q77" s="401"/>
      <c r="R77" s="11"/>
      <c r="S77" s="11"/>
      <c r="T77" s="11"/>
      <c r="U77" s="11"/>
      <c r="V77" s="11"/>
    </row>
    <row r="78" spans="1:22" ht="15.75">
      <c r="A78" s="11"/>
      <c r="B78" s="11"/>
      <c r="E78" s="401"/>
      <c r="F78" s="401"/>
      <c r="G78" s="401"/>
      <c r="H78" s="401"/>
      <c r="I78" s="401"/>
      <c r="J78" s="401"/>
      <c r="K78" s="401"/>
      <c r="L78" s="11"/>
      <c r="M78" s="401"/>
      <c r="N78" s="401"/>
      <c r="O78" s="401"/>
      <c r="P78" s="401"/>
      <c r="Q78" s="401"/>
      <c r="R78" s="11"/>
      <c r="S78" s="11"/>
      <c r="T78" s="11"/>
      <c r="U78" s="11"/>
      <c r="V78" s="11"/>
    </row>
    <row r="79" spans="1:22" ht="15.75">
      <c r="A79" s="11"/>
      <c r="B79" s="11"/>
      <c r="E79" s="401"/>
      <c r="F79" s="401"/>
      <c r="G79" s="401"/>
      <c r="H79" s="401"/>
      <c r="I79" s="401"/>
      <c r="J79" s="401"/>
      <c r="K79" s="401"/>
      <c r="L79" s="11"/>
      <c r="M79" s="401"/>
      <c r="N79" s="401"/>
      <c r="O79" s="401"/>
      <c r="P79" s="401"/>
      <c r="Q79" s="401"/>
      <c r="R79" s="11"/>
      <c r="S79" s="11"/>
      <c r="T79" s="11"/>
      <c r="U79" s="11"/>
      <c r="V79" s="11"/>
    </row>
    <row r="80" spans="1:22" ht="15.75">
      <c r="A80" s="11"/>
      <c r="B80" s="11"/>
      <c r="E80" s="401"/>
      <c r="F80" s="401"/>
      <c r="G80" s="401"/>
      <c r="H80" s="401"/>
      <c r="I80" s="401"/>
      <c r="J80" s="401"/>
      <c r="K80" s="401"/>
      <c r="L80" s="11"/>
      <c r="M80" s="401"/>
      <c r="N80" s="401"/>
      <c r="O80" s="401"/>
      <c r="P80" s="401"/>
      <c r="Q80" s="401"/>
      <c r="R80" s="11"/>
      <c r="S80" s="11"/>
      <c r="T80" s="11"/>
      <c r="U80" s="11"/>
      <c r="V80" s="11"/>
    </row>
    <row r="81" spans="1:22" ht="15.75">
      <c r="A81" s="11"/>
      <c r="B81" s="11"/>
      <c r="E81" s="401"/>
      <c r="F81" s="401"/>
      <c r="G81" s="401"/>
      <c r="H81" s="401"/>
      <c r="I81" s="401"/>
      <c r="J81" s="401"/>
      <c r="K81" s="401"/>
      <c r="L81" s="11"/>
      <c r="M81" s="401"/>
      <c r="N81" s="401"/>
      <c r="O81" s="401"/>
      <c r="P81" s="401"/>
      <c r="Q81" s="401"/>
      <c r="R81" s="11"/>
      <c r="S81" s="11"/>
      <c r="T81" s="11"/>
      <c r="U81" s="11"/>
      <c r="V81" s="11"/>
    </row>
    <row r="82" spans="1:22" ht="15.75">
      <c r="A82" s="11"/>
      <c r="B82" s="11"/>
      <c r="E82" s="401"/>
      <c r="F82" s="401"/>
      <c r="G82" s="401"/>
      <c r="H82" s="401"/>
      <c r="I82" s="401"/>
      <c r="J82" s="401"/>
      <c r="K82" s="401"/>
      <c r="L82" s="11"/>
      <c r="M82" s="401"/>
      <c r="N82" s="401"/>
      <c r="O82" s="401"/>
      <c r="P82" s="401"/>
      <c r="Q82" s="401"/>
      <c r="R82" s="11"/>
      <c r="S82" s="11"/>
      <c r="T82" s="11"/>
      <c r="U82" s="11"/>
      <c r="V82" s="11"/>
    </row>
    <row r="83" spans="1:22" ht="15.75">
      <c r="A83" s="11"/>
      <c r="B83" s="11"/>
      <c r="E83" s="401"/>
      <c r="F83" s="401"/>
      <c r="G83" s="401"/>
      <c r="H83" s="401"/>
      <c r="I83" s="401"/>
      <c r="J83" s="401"/>
      <c r="K83" s="401"/>
      <c r="L83" s="11"/>
      <c r="M83" s="401"/>
      <c r="N83" s="401"/>
      <c r="O83" s="401"/>
      <c r="P83" s="401"/>
      <c r="Q83" s="401"/>
      <c r="R83" s="11"/>
      <c r="S83" s="11"/>
      <c r="T83" s="11"/>
      <c r="U83" s="11"/>
      <c r="V83" s="11"/>
    </row>
    <row r="84" spans="1:22" ht="15.75">
      <c r="A84" s="11"/>
      <c r="B84" s="11"/>
      <c r="E84" s="401"/>
      <c r="F84" s="401"/>
      <c r="G84" s="401"/>
      <c r="H84" s="401"/>
      <c r="I84" s="401"/>
      <c r="J84" s="401"/>
      <c r="K84" s="401"/>
      <c r="L84" s="11"/>
      <c r="M84" s="401"/>
      <c r="N84" s="401"/>
      <c r="O84" s="401"/>
      <c r="P84" s="401"/>
      <c r="Q84" s="401"/>
      <c r="R84" s="11"/>
      <c r="S84" s="11"/>
      <c r="T84" s="11"/>
      <c r="U84" s="11"/>
      <c r="V84" s="11"/>
    </row>
    <row r="85" spans="1:22" ht="15.75">
      <c r="A85" s="11"/>
      <c r="B85" s="11"/>
      <c r="E85" s="401"/>
      <c r="F85" s="401"/>
      <c r="G85" s="401"/>
      <c r="H85" s="401"/>
      <c r="I85" s="401"/>
      <c r="J85" s="401"/>
      <c r="K85" s="401"/>
      <c r="L85" s="11"/>
      <c r="M85" s="401"/>
      <c r="N85" s="401"/>
      <c r="O85" s="401"/>
      <c r="P85" s="401"/>
      <c r="Q85" s="401"/>
      <c r="R85" s="11"/>
      <c r="S85" s="11"/>
      <c r="T85" s="11"/>
      <c r="U85" s="11"/>
      <c r="V85" s="11"/>
    </row>
    <row r="86" spans="1:22" ht="15.75">
      <c r="A86" s="11"/>
      <c r="B86" s="11"/>
      <c r="E86" s="401"/>
      <c r="F86" s="401"/>
      <c r="G86" s="401"/>
      <c r="H86" s="401"/>
      <c r="I86" s="401"/>
      <c r="J86" s="401"/>
      <c r="K86" s="401"/>
      <c r="L86" s="11"/>
      <c r="M86" s="401"/>
      <c r="N86" s="401"/>
      <c r="O86" s="401"/>
      <c r="P86" s="401"/>
      <c r="Q86" s="401"/>
      <c r="R86" s="11"/>
      <c r="S86" s="11"/>
      <c r="T86" s="11"/>
      <c r="U86" s="11"/>
      <c r="V86" s="11"/>
    </row>
    <row r="87" spans="1:22" ht="15.75">
      <c r="A87" s="11"/>
      <c r="B87" s="11"/>
      <c r="E87" s="401"/>
      <c r="F87" s="401"/>
      <c r="G87" s="401"/>
      <c r="H87" s="401"/>
      <c r="I87" s="401"/>
      <c r="J87" s="401"/>
      <c r="K87" s="401"/>
      <c r="L87" s="11"/>
      <c r="M87" s="401"/>
      <c r="N87" s="401"/>
      <c r="O87" s="401"/>
      <c r="P87" s="401"/>
      <c r="Q87" s="401"/>
      <c r="R87" s="11"/>
      <c r="S87" s="11"/>
      <c r="T87" s="11"/>
      <c r="U87" s="11"/>
      <c r="V87" s="11"/>
    </row>
    <row r="88" spans="1:22" ht="15.75">
      <c r="A88" s="11"/>
      <c r="B88" s="11"/>
      <c r="E88" s="401"/>
      <c r="F88" s="401"/>
      <c r="G88" s="401"/>
      <c r="H88" s="401"/>
      <c r="I88" s="401"/>
      <c r="J88" s="401"/>
      <c r="K88" s="401"/>
      <c r="L88" s="11"/>
      <c r="M88" s="401"/>
      <c r="N88" s="401"/>
      <c r="O88" s="401"/>
      <c r="P88" s="401"/>
      <c r="Q88" s="401"/>
      <c r="R88" s="11"/>
      <c r="S88" s="11"/>
      <c r="T88" s="11"/>
      <c r="U88" s="11"/>
      <c r="V88" s="11"/>
    </row>
    <row r="89" spans="1:22" ht="15.75">
      <c r="A89" s="11"/>
      <c r="B89" s="11"/>
      <c r="E89" s="401"/>
      <c r="F89" s="401"/>
      <c r="G89" s="401"/>
      <c r="H89" s="401"/>
      <c r="I89" s="401"/>
      <c r="J89" s="401"/>
      <c r="K89" s="401"/>
      <c r="L89" s="11"/>
      <c r="M89" s="401"/>
      <c r="N89" s="401"/>
      <c r="O89" s="401"/>
      <c r="P89" s="401"/>
      <c r="Q89" s="401"/>
      <c r="R89" s="11"/>
      <c r="S89" s="11"/>
      <c r="T89" s="11"/>
      <c r="U89" s="11"/>
      <c r="V89" s="11"/>
    </row>
    <row r="90" spans="1:22" ht="15.75">
      <c r="A90" s="11"/>
      <c r="B90" s="11"/>
      <c r="E90" s="401"/>
      <c r="F90" s="401"/>
      <c r="G90" s="401"/>
      <c r="H90" s="401"/>
      <c r="I90" s="401"/>
      <c r="J90" s="401"/>
      <c r="K90" s="401"/>
      <c r="L90" s="11"/>
      <c r="M90" s="401"/>
      <c r="N90" s="401"/>
      <c r="O90" s="401"/>
      <c r="P90" s="401"/>
      <c r="Q90" s="401"/>
      <c r="R90" s="11"/>
      <c r="S90" s="11"/>
      <c r="T90" s="11"/>
      <c r="U90" s="11"/>
      <c r="V90" s="11"/>
    </row>
    <row r="91" spans="1:22" ht="15.75">
      <c r="A91" s="11"/>
      <c r="B91" s="11"/>
      <c r="E91" s="401"/>
      <c r="F91" s="401"/>
      <c r="G91" s="401"/>
      <c r="H91" s="401"/>
      <c r="I91" s="401"/>
      <c r="J91" s="401"/>
      <c r="K91" s="401"/>
      <c r="L91" s="11"/>
      <c r="M91" s="401"/>
      <c r="N91" s="401"/>
      <c r="O91" s="401"/>
      <c r="P91" s="401"/>
      <c r="Q91" s="401"/>
      <c r="R91" s="11"/>
      <c r="S91" s="11"/>
      <c r="T91" s="11"/>
      <c r="U91" s="11"/>
      <c r="V91" s="11"/>
    </row>
    <row r="92" spans="1:22" ht="15.75">
      <c r="A92" s="11"/>
      <c r="B92" s="11"/>
      <c r="E92" s="401"/>
      <c r="F92" s="401"/>
      <c r="G92" s="401"/>
      <c r="H92" s="401"/>
      <c r="I92" s="401"/>
      <c r="J92" s="401"/>
      <c r="K92" s="401"/>
      <c r="L92" s="11"/>
      <c r="M92" s="401"/>
      <c r="N92" s="401"/>
      <c r="O92" s="401"/>
      <c r="P92" s="401"/>
      <c r="Q92" s="401"/>
      <c r="R92" s="11"/>
      <c r="S92" s="11"/>
      <c r="T92" s="11"/>
      <c r="U92" s="11"/>
      <c r="V92" s="11"/>
    </row>
    <row r="93" spans="1:22" ht="15.75">
      <c r="A93" s="11"/>
      <c r="B93" s="11"/>
      <c r="E93" s="401"/>
      <c r="F93" s="401"/>
      <c r="G93" s="401"/>
      <c r="H93" s="401"/>
      <c r="I93" s="401"/>
      <c r="J93" s="401"/>
      <c r="K93" s="401"/>
      <c r="L93" s="11"/>
      <c r="M93" s="401"/>
      <c r="N93" s="401"/>
      <c r="O93" s="401"/>
      <c r="P93" s="401"/>
      <c r="Q93" s="401"/>
      <c r="R93" s="11"/>
      <c r="S93" s="11"/>
      <c r="T93" s="11"/>
      <c r="U93" s="11"/>
      <c r="V93" s="11"/>
    </row>
    <row r="94" spans="1:22" ht="15.75">
      <c r="A94" s="11"/>
      <c r="B94" s="11"/>
      <c r="E94" s="401"/>
      <c r="F94" s="401"/>
      <c r="G94" s="401"/>
      <c r="H94" s="401"/>
      <c r="I94" s="401"/>
      <c r="J94" s="401"/>
      <c r="K94" s="401"/>
      <c r="L94" s="11"/>
      <c r="M94" s="401"/>
      <c r="N94" s="401"/>
      <c r="O94" s="401"/>
      <c r="P94" s="401"/>
      <c r="Q94" s="401"/>
      <c r="R94" s="11"/>
      <c r="S94" s="11"/>
      <c r="T94" s="11"/>
      <c r="U94" s="11"/>
      <c r="V94" s="11"/>
    </row>
    <row r="95" spans="1:22" ht="15.75">
      <c r="A95" s="11"/>
      <c r="B95" s="11"/>
      <c r="E95" s="401"/>
      <c r="F95" s="401"/>
      <c r="G95" s="401"/>
      <c r="H95" s="401"/>
      <c r="I95" s="401"/>
      <c r="J95" s="401"/>
      <c r="K95" s="401"/>
      <c r="L95" s="11"/>
      <c r="M95" s="401"/>
      <c r="N95" s="401"/>
      <c r="O95" s="401"/>
      <c r="P95" s="401"/>
      <c r="Q95" s="401"/>
      <c r="R95" s="11"/>
      <c r="S95" s="11"/>
      <c r="T95" s="11"/>
      <c r="U95" s="11"/>
      <c r="V95" s="11"/>
    </row>
    <row r="96" spans="1:22" ht="15.75">
      <c r="A96" s="11"/>
      <c r="B96" s="11"/>
      <c r="E96" s="401"/>
      <c r="F96" s="401"/>
      <c r="G96" s="401"/>
      <c r="H96" s="401"/>
      <c r="I96" s="401"/>
      <c r="J96" s="401"/>
      <c r="K96" s="401"/>
      <c r="L96" s="11"/>
      <c r="M96" s="401"/>
      <c r="N96" s="401"/>
      <c r="O96" s="401"/>
      <c r="P96" s="401"/>
      <c r="Q96" s="401"/>
      <c r="R96" s="11"/>
      <c r="S96" s="11"/>
      <c r="T96" s="11"/>
      <c r="U96" s="11"/>
      <c r="V96" s="11"/>
    </row>
    <row r="97" spans="1:22" ht="15.75">
      <c r="A97" s="11"/>
      <c r="B97" s="11"/>
      <c r="E97" s="401"/>
      <c r="F97" s="401"/>
      <c r="G97" s="401"/>
      <c r="H97" s="401"/>
      <c r="I97" s="401"/>
      <c r="J97" s="401"/>
      <c r="K97" s="401"/>
      <c r="L97" s="11"/>
      <c r="M97" s="401"/>
      <c r="N97" s="401"/>
      <c r="O97" s="401"/>
      <c r="P97" s="401"/>
      <c r="Q97" s="401"/>
      <c r="R97" s="11"/>
      <c r="S97" s="11"/>
      <c r="T97" s="11"/>
      <c r="U97" s="11"/>
      <c r="V97" s="11"/>
    </row>
    <row r="98" spans="1:22" ht="15.75">
      <c r="A98" s="11"/>
      <c r="B98" s="11"/>
      <c r="E98" s="401"/>
      <c r="F98" s="401"/>
      <c r="G98" s="401"/>
      <c r="H98" s="401"/>
      <c r="I98" s="401"/>
      <c r="J98" s="401"/>
      <c r="K98" s="401"/>
      <c r="L98" s="11"/>
      <c r="M98" s="401"/>
      <c r="N98" s="401"/>
      <c r="O98" s="401"/>
      <c r="P98" s="401"/>
      <c r="Q98" s="401"/>
      <c r="R98" s="11"/>
      <c r="S98" s="11"/>
      <c r="T98" s="11"/>
      <c r="U98" s="11"/>
      <c r="V98" s="11"/>
    </row>
    <row r="99" spans="1:22" ht="15.75">
      <c r="A99" s="11"/>
      <c r="B99" s="11"/>
      <c r="E99" s="401"/>
      <c r="F99" s="401"/>
      <c r="G99" s="401"/>
      <c r="H99" s="401"/>
      <c r="I99" s="401"/>
      <c r="J99" s="401"/>
      <c r="K99" s="401"/>
      <c r="L99" s="11"/>
      <c r="M99" s="401"/>
      <c r="N99" s="401"/>
      <c r="O99" s="401"/>
      <c r="P99" s="401"/>
      <c r="Q99" s="401"/>
      <c r="R99" s="11"/>
      <c r="S99" s="11"/>
      <c r="T99" s="11"/>
      <c r="U99" s="11"/>
      <c r="V99" s="11"/>
    </row>
    <row r="100" spans="1:22">
      <c r="A100" s="27"/>
      <c r="B100" s="27"/>
      <c r="C100" s="27"/>
      <c r="D100" s="27"/>
      <c r="E100" s="27"/>
      <c r="F100" s="27"/>
      <c r="G100" s="27"/>
      <c r="H100" s="27"/>
      <c r="I100" s="27"/>
      <c r="J100" s="27"/>
      <c r="K100" s="27"/>
      <c r="L100" s="27"/>
      <c r="M100" s="27"/>
      <c r="N100" s="27"/>
      <c r="O100" s="27"/>
      <c r="P100" s="27"/>
      <c r="Q100" s="27"/>
      <c r="R100" s="27"/>
      <c r="S100" s="27"/>
      <c r="T100" s="27"/>
      <c r="U100" s="27"/>
      <c r="V100" s="27"/>
    </row>
    <row r="101" spans="1:22">
      <c r="A101" s="27"/>
      <c r="B101" s="27"/>
      <c r="C101" s="27"/>
      <c r="D101" s="27"/>
      <c r="E101" s="27"/>
      <c r="F101" s="27"/>
      <c r="G101" s="27"/>
      <c r="H101" s="27"/>
      <c r="I101" s="27"/>
      <c r="J101" s="27"/>
      <c r="K101" s="27"/>
      <c r="L101" s="27"/>
      <c r="M101" s="27"/>
      <c r="N101" s="27"/>
      <c r="O101" s="27"/>
      <c r="P101" s="27"/>
      <c r="Q101" s="27"/>
      <c r="R101" s="27"/>
      <c r="S101" s="27"/>
      <c r="T101" s="27"/>
      <c r="U101" s="27"/>
      <c r="V101" s="27"/>
    </row>
    <row r="102" spans="1:22">
      <c r="A102" s="27"/>
      <c r="B102" s="27"/>
      <c r="C102" s="27"/>
      <c r="D102" s="27"/>
      <c r="E102" s="27"/>
      <c r="F102" s="27"/>
      <c r="G102" s="27"/>
      <c r="H102" s="27"/>
      <c r="I102" s="27"/>
      <c r="J102" s="27"/>
      <c r="K102" s="27"/>
      <c r="L102" s="27"/>
      <c r="M102" s="27"/>
      <c r="N102" s="27"/>
      <c r="O102" s="27"/>
      <c r="P102" s="27"/>
      <c r="Q102" s="27"/>
      <c r="R102" s="27"/>
      <c r="S102" s="27"/>
      <c r="T102" s="27"/>
      <c r="U102" s="27"/>
      <c r="V102" s="27"/>
    </row>
    <row r="103" spans="1:22">
      <c r="A103" s="27"/>
      <c r="B103" s="27"/>
      <c r="C103" s="27"/>
      <c r="D103" s="27"/>
      <c r="E103" s="27"/>
      <c r="F103" s="27"/>
      <c r="G103" s="27"/>
      <c r="H103" s="27"/>
      <c r="I103" s="27"/>
      <c r="J103" s="27"/>
      <c r="K103" s="27"/>
      <c r="L103" s="27"/>
      <c r="M103" s="27"/>
      <c r="N103" s="27"/>
      <c r="O103" s="27"/>
      <c r="P103" s="27"/>
      <c r="Q103" s="27"/>
      <c r="R103" s="27"/>
      <c r="S103" s="27"/>
      <c r="T103" s="27"/>
      <c r="U103" s="27"/>
      <c r="V103" s="27"/>
    </row>
    <row r="104" spans="1:22">
      <c r="A104" s="27"/>
      <c r="B104" s="27"/>
      <c r="C104" s="27"/>
      <c r="D104" s="27"/>
      <c r="E104" s="27"/>
      <c r="F104" s="27"/>
      <c r="G104" s="27"/>
      <c r="H104" s="27"/>
      <c r="I104" s="27"/>
      <c r="J104" s="27"/>
      <c r="K104" s="27"/>
      <c r="L104" s="27"/>
      <c r="M104" s="27"/>
      <c r="N104" s="27"/>
      <c r="O104" s="27"/>
      <c r="P104" s="27"/>
      <c r="Q104" s="27"/>
      <c r="R104" s="27"/>
      <c r="S104" s="27"/>
      <c r="T104" s="27"/>
      <c r="U104" s="27"/>
      <c r="V104" s="27"/>
    </row>
    <row r="105" spans="1:22">
      <c r="A105" s="27"/>
      <c r="B105" s="27"/>
      <c r="C105" s="27"/>
      <c r="D105" s="27"/>
      <c r="E105" s="27"/>
      <c r="F105" s="27"/>
      <c r="G105" s="27"/>
      <c r="H105" s="27"/>
      <c r="I105" s="27"/>
      <c r="J105" s="27"/>
      <c r="K105" s="27"/>
      <c r="L105" s="27"/>
      <c r="M105" s="27"/>
      <c r="N105" s="27"/>
      <c r="O105" s="27"/>
      <c r="P105" s="27"/>
      <c r="Q105" s="27"/>
      <c r="R105" s="27"/>
      <c r="S105" s="27"/>
      <c r="T105" s="27"/>
      <c r="U105" s="27"/>
      <c r="V105" s="27"/>
    </row>
    <row r="106" spans="1:22">
      <c r="A106" s="27"/>
      <c r="B106" s="27"/>
      <c r="C106" s="27"/>
      <c r="D106" s="27"/>
      <c r="E106" s="27"/>
      <c r="F106" s="27"/>
      <c r="G106" s="27"/>
      <c r="H106" s="27"/>
      <c r="I106" s="27"/>
      <c r="J106" s="27"/>
      <c r="K106" s="27"/>
      <c r="L106" s="27"/>
      <c r="M106" s="27"/>
      <c r="N106" s="27"/>
      <c r="O106" s="27"/>
      <c r="P106" s="27"/>
      <c r="Q106" s="27"/>
      <c r="R106" s="27"/>
      <c r="S106" s="27"/>
      <c r="T106" s="27"/>
      <c r="U106" s="27"/>
      <c r="V106" s="27"/>
    </row>
    <row r="107" spans="1:22" ht="12.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row>
    <row r="108" spans="1:22" ht="12.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row>
    <row r="109" spans="1:22" ht="12.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row>
    <row r="110" spans="1:22" ht="12.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row>
    <row r="111" spans="1:22" ht="12.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row>
    <row r="112" spans="1:22" ht="12.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row>
    <row r="113" spans="1:22" ht="12.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row>
    <row r="114" spans="1:22" ht="12.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row>
    <row r="115" spans="1:22" ht="12.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row>
    <row r="116" spans="1:22" ht="12.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row>
    <row r="117" spans="1:22" ht="12.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row>
    <row r="118" spans="1:22">
      <c r="A118" s="27"/>
      <c r="B118" s="27"/>
      <c r="C118" s="27"/>
      <c r="D118" s="27"/>
      <c r="E118" s="27"/>
      <c r="F118" s="27"/>
      <c r="G118" s="27"/>
      <c r="H118" s="27"/>
      <c r="I118" s="27"/>
      <c r="J118" s="27"/>
      <c r="K118" s="27"/>
      <c r="L118" s="27"/>
      <c r="M118" s="27"/>
      <c r="N118" s="27"/>
      <c r="O118" s="27"/>
      <c r="P118" s="27"/>
      <c r="Q118" s="27"/>
      <c r="R118" s="27"/>
      <c r="S118" s="27"/>
      <c r="T118" s="27"/>
      <c r="U118" s="27"/>
      <c r="V118" s="27"/>
    </row>
    <row r="119" spans="1:22">
      <c r="A119" s="27"/>
      <c r="B119" s="27"/>
      <c r="C119" s="27"/>
      <c r="D119" s="27"/>
      <c r="E119" s="27"/>
      <c r="F119" s="27"/>
      <c r="G119" s="27"/>
      <c r="H119" s="27"/>
      <c r="I119" s="27"/>
      <c r="J119" s="27"/>
      <c r="K119" s="27"/>
      <c r="L119" s="27"/>
      <c r="M119" s="27"/>
      <c r="N119" s="27"/>
      <c r="O119" s="27"/>
      <c r="P119" s="27"/>
      <c r="Q119" s="27"/>
      <c r="R119" s="27"/>
      <c r="S119" s="27"/>
      <c r="T119" s="27"/>
      <c r="U119" s="27"/>
      <c r="V119" s="27"/>
    </row>
    <row r="120" spans="1:22">
      <c r="A120" s="27"/>
      <c r="B120" s="27"/>
      <c r="C120" s="27"/>
      <c r="D120" s="27"/>
      <c r="E120" s="27"/>
      <c r="F120" s="27"/>
      <c r="G120" s="27"/>
      <c r="H120" s="27"/>
      <c r="I120" s="27"/>
      <c r="J120" s="27"/>
      <c r="K120" s="27"/>
      <c r="L120" s="27"/>
      <c r="M120" s="27"/>
      <c r="N120" s="27"/>
      <c r="O120" s="27"/>
      <c r="P120" s="27"/>
      <c r="Q120" s="27"/>
      <c r="R120" s="27"/>
      <c r="S120" s="27"/>
      <c r="T120" s="27"/>
      <c r="U120" s="27"/>
      <c r="V120" s="27"/>
    </row>
    <row r="121" spans="1:22">
      <c r="A121" s="27"/>
      <c r="B121" s="27"/>
      <c r="C121" s="27"/>
      <c r="D121" s="27"/>
      <c r="E121" s="27"/>
      <c r="F121" s="27"/>
      <c r="G121" s="27"/>
      <c r="H121" s="27"/>
      <c r="I121" s="27"/>
      <c r="J121" s="27"/>
      <c r="K121" s="27"/>
      <c r="L121" s="27"/>
      <c r="M121" s="27"/>
      <c r="N121" s="27"/>
      <c r="O121" s="27"/>
      <c r="P121" s="27"/>
      <c r="Q121" s="27"/>
      <c r="R121" s="27"/>
      <c r="S121" s="27"/>
      <c r="T121" s="27"/>
      <c r="U121" s="27"/>
      <c r="V121" s="27"/>
    </row>
    <row r="122" spans="1:22">
      <c r="A122" s="27"/>
      <c r="B122" s="27"/>
      <c r="C122" s="27"/>
      <c r="D122" s="27"/>
      <c r="E122" s="27"/>
      <c r="F122" s="27"/>
      <c r="G122" s="27"/>
      <c r="H122" s="27"/>
      <c r="I122" s="27"/>
      <c r="J122" s="27"/>
      <c r="K122" s="27"/>
      <c r="L122" s="27"/>
      <c r="M122" s="27"/>
      <c r="N122" s="27"/>
      <c r="O122" s="27"/>
      <c r="P122" s="27"/>
      <c r="Q122" s="27"/>
      <c r="R122" s="27"/>
      <c r="S122" s="27"/>
      <c r="T122" s="27"/>
      <c r="U122" s="27"/>
      <c r="V122" s="27"/>
    </row>
    <row r="123" spans="1:22">
      <c r="A123" s="27"/>
      <c r="B123" s="27"/>
      <c r="C123" s="27"/>
      <c r="D123" s="27"/>
      <c r="E123" s="27"/>
      <c r="F123" s="27"/>
      <c r="G123" s="27"/>
      <c r="H123" s="27"/>
      <c r="I123" s="27"/>
      <c r="J123" s="27"/>
      <c r="K123" s="27"/>
      <c r="L123" s="27"/>
      <c r="M123" s="27"/>
      <c r="N123" s="27"/>
      <c r="O123" s="27"/>
      <c r="P123" s="27"/>
      <c r="Q123" s="27"/>
      <c r="R123" s="27"/>
      <c r="S123" s="27"/>
      <c r="T123" s="27"/>
      <c r="U123" s="27"/>
      <c r="V123" s="27"/>
    </row>
    <row r="124" spans="1:22">
      <c r="A124" s="27"/>
      <c r="B124" s="27"/>
      <c r="C124" s="27"/>
      <c r="D124" s="27"/>
      <c r="E124" s="27"/>
      <c r="F124" s="27"/>
      <c r="G124" s="27"/>
      <c r="H124" s="27"/>
      <c r="I124" s="27"/>
      <c r="J124" s="27"/>
      <c r="K124" s="27"/>
      <c r="L124" s="27"/>
      <c r="M124" s="27"/>
      <c r="N124" s="27"/>
      <c r="O124" s="27"/>
      <c r="P124" s="27"/>
      <c r="Q124" s="27"/>
      <c r="R124" s="27"/>
      <c r="S124" s="27"/>
      <c r="T124" s="27"/>
      <c r="U124" s="27"/>
      <c r="V124" s="27"/>
    </row>
    <row r="125" spans="1:22">
      <c r="A125" s="27"/>
      <c r="B125" s="27"/>
      <c r="C125" s="27"/>
      <c r="D125" s="27"/>
      <c r="E125" s="27"/>
      <c r="F125" s="27"/>
      <c r="G125" s="27"/>
      <c r="H125" s="27"/>
      <c r="I125" s="27"/>
      <c r="J125" s="27"/>
      <c r="K125" s="27"/>
      <c r="L125" s="27"/>
      <c r="M125" s="27"/>
      <c r="N125" s="27"/>
      <c r="O125" s="27"/>
      <c r="P125" s="27"/>
      <c r="Q125" s="27"/>
      <c r="R125" s="27"/>
      <c r="S125" s="27"/>
      <c r="T125" s="27"/>
      <c r="U125" s="27"/>
      <c r="V125" s="27"/>
    </row>
    <row r="126" spans="1:22">
      <c r="A126" s="27"/>
      <c r="B126" s="27"/>
      <c r="C126" s="27"/>
      <c r="D126" s="27"/>
      <c r="E126" s="27"/>
      <c r="F126" s="27"/>
      <c r="G126" s="27"/>
      <c r="H126" s="27"/>
      <c r="I126" s="27"/>
      <c r="J126" s="27"/>
      <c r="K126" s="27"/>
      <c r="L126" s="27"/>
      <c r="M126" s="27"/>
      <c r="N126" s="27"/>
      <c r="O126" s="27"/>
      <c r="P126" s="27"/>
      <c r="Q126" s="27"/>
      <c r="R126" s="27"/>
      <c r="S126" s="27"/>
      <c r="T126" s="27"/>
      <c r="U126" s="27"/>
      <c r="V126" s="27"/>
    </row>
    <row r="127" spans="1:22">
      <c r="A127" s="27"/>
      <c r="B127" s="27"/>
      <c r="C127" s="27"/>
      <c r="D127" s="27"/>
      <c r="E127" s="27"/>
      <c r="F127" s="27"/>
      <c r="G127" s="27"/>
      <c r="H127" s="27"/>
      <c r="I127" s="27"/>
      <c r="J127" s="27"/>
      <c r="K127" s="27"/>
      <c r="L127" s="27"/>
      <c r="M127" s="27"/>
      <c r="N127" s="27"/>
      <c r="O127" s="27"/>
      <c r="P127" s="27"/>
      <c r="Q127" s="27"/>
      <c r="R127" s="27"/>
      <c r="S127" s="27"/>
      <c r="T127" s="27"/>
      <c r="U127" s="27"/>
      <c r="V127" s="27"/>
    </row>
    <row r="128" spans="1:22">
      <c r="A128" s="27"/>
      <c r="B128" s="27"/>
      <c r="C128" s="27"/>
      <c r="D128" s="27"/>
      <c r="E128" s="27"/>
      <c r="F128" s="27"/>
      <c r="G128" s="27"/>
      <c r="H128" s="27"/>
      <c r="I128" s="27"/>
      <c r="J128" s="27"/>
      <c r="K128" s="27"/>
      <c r="L128" s="27"/>
      <c r="M128" s="27"/>
      <c r="N128" s="27"/>
      <c r="O128" s="27"/>
      <c r="P128" s="27"/>
      <c r="Q128" s="27"/>
      <c r="R128" s="27"/>
      <c r="S128" s="27"/>
      <c r="T128" s="27"/>
      <c r="U128" s="27"/>
      <c r="V128" s="27"/>
    </row>
    <row r="129" spans="1:22">
      <c r="A129" s="27"/>
      <c r="B129" s="27"/>
      <c r="C129" s="27"/>
      <c r="D129" s="27"/>
      <c r="E129" s="27"/>
      <c r="F129" s="27"/>
      <c r="G129" s="27"/>
      <c r="H129" s="27"/>
      <c r="I129" s="27"/>
      <c r="J129" s="27"/>
      <c r="K129" s="27"/>
      <c r="L129" s="27"/>
      <c r="M129" s="27"/>
      <c r="N129" s="27"/>
      <c r="O129" s="27"/>
      <c r="P129" s="27"/>
      <c r="Q129" s="27"/>
      <c r="R129" s="27"/>
      <c r="S129" s="27"/>
      <c r="T129" s="27"/>
      <c r="U129" s="27"/>
      <c r="V129" s="27"/>
    </row>
    <row r="130" spans="1:22">
      <c r="A130" s="27"/>
      <c r="B130" s="27"/>
      <c r="C130" s="27"/>
      <c r="D130" s="27"/>
      <c r="E130" s="27"/>
      <c r="F130" s="27"/>
      <c r="G130" s="27"/>
      <c r="H130" s="27"/>
      <c r="I130" s="27"/>
      <c r="J130" s="27"/>
      <c r="K130" s="27"/>
      <c r="L130" s="27"/>
      <c r="M130" s="27"/>
      <c r="N130" s="27"/>
      <c r="O130" s="27"/>
      <c r="P130" s="27"/>
      <c r="Q130" s="27"/>
      <c r="R130" s="27"/>
      <c r="S130" s="27"/>
      <c r="T130" s="27"/>
      <c r="U130" s="27"/>
      <c r="V130" s="27"/>
    </row>
    <row r="131" spans="1:22">
      <c r="A131" s="27"/>
      <c r="B131" s="27"/>
      <c r="C131" s="27"/>
      <c r="D131" s="27"/>
      <c r="E131" s="27"/>
      <c r="F131" s="27"/>
      <c r="G131" s="27"/>
      <c r="H131" s="27"/>
      <c r="I131" s="27"/>
      <c r="J131" s="27"/>
      <c r="K131" s="27"/>
      <c r="L131" s="27"/>
      <c r="M131" s="27"/>
      <c r="N131" s="27"/>
      <c r="O131" s="27"/>
      <c r="P131" s="27"/>
      <c r="Q131" s="27"/>
      <c r="R131" s="27"/>
      <c r="S131" s="27"/>
      <c r="T131" s="27"/>
      <c r="U131" s="27"/>
      <c r="V131" s="27"/>
    </row>
    <row r="132" spans="1:22">
      <c r="A132" s="27"/>
      <c r="B132" s="27"/>
      <c r="C132" s="27"/>
      <c r="D132" s="27"/>
      <c r="E132" s="27"/>
      <c r="F132" s="27"/>
      <c r="G132" s="27"/>
      <c r="H132" s="27"/>
      <c r="I132" s="27"/>
      <c r="J132" s="27"/>
      <c r="K132" s="27"/>
      <c r="L132" s="27"/>
      <c r="M132" s="27"/>
      <c r="N132" s="27"/>
      <c r="O132" s="27"/>
      <c r="P132" s="27"/>
      <c r="Q132" s="27"/>
      <c r="R132" s="27"/>
      <c r="S132" s="27"/>
      <c r="T132" s="27"/>
      <c r="U132" s="27"/>
      <c r="V132" s="27"/>
    </row>
    <row r="133" spans="1:22">
      <c r="A133" s="27"/>
      <c r="B133" s="27"/>
      <c r="C133" s="27"/>
      <c r="D133" s="27"/>
      <c r="E133" s="27"/>
      <c r="F133" s="27"/>
      <c r="G133" s="27"/>
      <c r="H133" s="27"/>
      <c r="I133" s="27"/>
      <c r="J133" s="27"/>
      <c r="K133" s="27"/>
      <c r="L133" s="27"/>
      <c r="M133" s="27"/>
      <c r="N133" s="27"/>
      <c r="O133" s="27"/>
      <c r="P133" s="27"/>
      <c r="Q133" s="27"/>
      <c r="R133" s="27"/>
      <c r="S133" s="27"/>
      <c r="T133" s="27"/>
      <c r="U133" s="27"/>
      <c r="V133" s="27"/>
    </row>
    <row r="134" spans="1:22">
      <c r="A134" s="27"/>
      <c r="B134" s="27"/>
      <c r="C134" s="27"/>
      <c r="D134" s="27"/>
      <c r="E134" s="27"/>
      <c r="F134" s="27"/>
      <c r="G134" s="27"/>
      <c r="H134" s="27"/>
      <c r="I134" s="27"/>
      <c r="J134" s="27"/>
      <c r="K134" s="27"/>
      <c r="L134" s="27"/>
      <c r="M134" s="27"/>
      <c r="N134" s="27"/>
      <c r="O134" s="27"/>
      <c r="P134" s="27"/>
      <c r="Q134" s="27"/>
      <c r="R134" s="27"/>
      <c r="S134" s="27"/>
      <c r="T134" s="27"/>
      <c r="U134" s="27"/>
      <c r="V134" s="27"/>
    </row>
    <row r="135" spans="1:22">
      <c r="A135" s="27"/>
      <c r="B135" s="27"/>
      <c r="C135" s="27"/>
      <c r="D135" s="27"/>
      <c r="E135" s="27"/>
      <c r="F135" s="27"/>
      <c r="G135" s="27"/>
      <c r="H135" s="27"/>
      <c r="I135" s="27"/>
      <c r="J135" s="27"/>
      <c r="K135" s="27"/>
      <c r="L135" s="27"/>
      <c r="M135" s="27"/>
      <c r="N135" s="27"/>
      <c r="O135" s="27"/>
      <c r="P135" s="27"/>
      <c r="Q135" s="27"/>
      <c r="R135" s="27"/>
      <c r="S135" s="27"/>
      <c r="T135" s="27"/>
      <c r="U135" s="27"/>
      <c r="V135" s="27"/>
    </row>
    <row r="136" spans="1:22">
      <c r="A136" s="27"/>
      <c r="B136" s="27"/>
      <c r="C136" s="27"/>
      <c r="D136" s="27"/>
      <c r="E136" s="27"/>
      <c r="F136" s="27"/>
      <c r="G136" s="27"/>
      <c r="H136" s="27"/>
      <c r="I136" s="27"/>
      <c r="J136" s="27"/>
      <c r="K136" s="27"/>
      <c r="L136" s="27"/>
      <c r="M136" s="27"/>
      <c r="N136" s="27"/>
      <c r="O136" s="27"/>
      <c r="P136" s="27"/>
      <c r="Q136" s="27"/>
      <c r="R136" s="27"/>
      <c r="S136" s="27"/>
      <c r="T136" s="27"/>
      <c r="U136" s="27"/>
      <c r="V136" s="27"/>
    </row>
    <row r="137" spans="1:22">
      <c r="A137" s="27"/>
      <c r="B137" s="27"/>
      <c r="C137" s="27"/>
      <c r="D137" s="27"/>
      <c r="E137" s="27"/>
      <c r="F137" s="27"/>
      <c r="G137" s="27"/>
      <c r="H137" s="27"/>
      <c r="I137" s="27"/>
      <c r="J137" s="27"/>
      <c r="K137" s="27"/>
      <c r="L137" s="27"/>
      <c r="M137" s="27"/>
      <c r="N137" s="27"/>
      <c r="O137" s="27"/>
      <c r="P137" s="27"/>
      <c r="Q137" s="27"/>
      <c r="R137" s="27"/>
      <c r="S137" s="27"/>
      <c r="T137" s="27"/>
      <c r="U137" s="27"/>
      <c r="V137" s="27"/>
    </row>
    <row r="138" spans="1:22" ht="12.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row>
    <row r="139" spans="1:22" ht="12.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row>
    <row r="140" spans="1:22" ht="12.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row>
    <row r="141" spans="1:22">
      <c r="A141" s="27"/>
      <c r="B141" s="27"/>
      <c r="C141" s="27"/>
      <c r="D141" s="27"/>
      <c r="E141" s="27"/>
      <c r="F141" s="27"/>
      <c r="G141" s="27"/>
      <c r="H141" s="27"/>
      <c r="I141" s="27"/>
      <c r="J141" s="27"/>
      <c r="K141" s="27"/>
      <c r="L141" s="27"/>
      <c r="M141" s="27"/>
      <c r="N141" s="27"/>
      <c r="O141" s="27"/>
      <c r="P141" s="27"/>
      <c r="Q141" s="27"/>
      <c r="R141" s="27"/>
      <c r="S141" s="27"/>
      <c r="T141" s="27"/>
      <c r="U141" s="27"/>
      <c r="V141" s="27"/>
    </row>
    <row r="142" spans="1:22">
      <c r="A142" s="27"/>
      <c r="B142" s="27"/>
      <c r="C142" s="27"/>
      <c r="D142" s="27"/>
      <c r="E142" s="27"/>
      <c r="F142" s="27"/>
      <c r="G142" s="27"/>
      <c r="H142" s="27"/>
      <c r="I142" s="27"/>
      <c r="J142" s="27"/>
      <c r="K142" s="27"/>
      <c r="L142" s="27"/>
      <c r="M142" s="27"/>
      <c r="N142" s="27"/>
      <c r="O142" s="27"/>
      <c r="P142" s="27"/>
      <c r="Q142" s="27"/>
      <c r="R142" s="27"/>
      <c r="S142" s="27"/>
      <c r="T142" s="27"/>
      <c r="U142" s="27"/>
      <c r="V142" s="27"/>
    </row>
    <row r="143" spans="1:22">
      <c r="A143" s="27"/>
      <c r="B143" s="27"/>
      <c r="C143" s="27"/>
      <c r="D143" s="27"/>
      <c r="E143" s="27"/>
      <c r="F143" s="27"/>
      <c r="G143" s="27"/>
      <c r="H143" s="27"/>
      <c r="I143" s="27"/>
      <c r="J143" s="27"/>
      <c r="K143" s="27"/>
      <c r="L143" s="27"/>
      <c r="M143" s="27"/>
      <c r="N143" s="27"/>
      <c r="O143" s="27"/>
      <c r="P143" s="27"/>
      <c r="Q143" s="27"/>
      <c r="R143" s="27"/>
      <c r="S143" s="27"/>
      <c r="T143" s="27"/>
      <c r="U143" s="27"/>
      <c r="V143" s="27"/>
    </row>
    <row r="144" spans="1:22">
      <c r="A144" s="27"/>
      <c r="B144" s="27"/>
      <c r="C144" s="27"/>
      <c r="D144" s="27"/>
      <c r="E144" s="27"/>
      <c r="F144" s="27"/>
      <c r="G144" s="27"/>
      <c r="H144" s="27"/>
      <c r="I144" s="27"/>
      <c r="J144" s="27"/>
      <c r="K144" s="27"/>
      <c r="L144" s="27"/>
      <c r="M144" s="27"/>
      <c r="N144" s="27"/>
      <c r="O144" s="27"/>
      <c r="P144" s="27"/>
      <c r="Q144" s="27"/>
      <c r="R144" s="27"/>
      <c r="S144" s="27"/>
      <c r="T144" s="27"/>
      <c r="U144" s="27"/>
      <c r="V144" s="27"/>
    </row>
    <row r="145" spans="1:22">
      <c r="A145" s="27"/>
      <c r="B145" s="27"/>
      <c r="C145" s="27"/>
      <c r="D145" s="27"/>
      <c r="E145" s="27"/>
      <c r="F145" s="27"/>
      <c r="G145" s="27"/>
      <c r="H145" s="27"/>
      <c r="I145" s="27"/>
      <c r="J145" s="27"/>
      <c r="K145" s="27"/>
      <c r="L145" s="27"/>
      <c r="M145" s="27"/>
      <c r="N145" s="27"/>
      <c r="O145" s="27"/>
      <c r="P145" s="27"/>
      <c r="Q145" s="27"/>
      <c r="R145" s="27"/>
      <c r="S145" s="27"/>
      <c r="T145" s="27"/>
      <c r="U145" s="27"/>
      <c r="V145" s="27"/>
    </row>
    <row r="146" spans="1:22">
      <c r="A146" s="27"/>
      <c r="B146" s="27"/>
      <c r="C146" s="27"/>
      <c r="D146" s="27"/>
      <c r="E146" s="27"/>
      <c r="F146" s="27"/>
      <c r="G146" s="27"/>
      <c r="H146" s="27"/>
      <c r="I146" s="27"/>
      <c r="J146" s="27"/>
      <c r="K146" s="27"/>
      <c r="L146" s="27"/>
      <c r="M146" s="27"/>
      <c r="N146" s="27"/>
      <c r="O146" s="27"/>
      <c r="P146" s="27"/>
      <c r="Q146" s="27"/>
      <c r="R146" s="27"/>
      <c r="S146" s="27"/>
      <c r="T146" s="27"/>
      <c r="U146" s="27"/>
      <c r="V146" s="27"/>
    </row>
    <row r="147" spans="1:22">
      <c r="A147" s="27"/>
      <c r="B147" s="27"/>
      <c r="C147" s="27"/>
      <c r="D147" s="27"/>
      <c r="E147" s="27"/>
      <c r="F147" s="27"/>
      <c r="G147" s="27"/>
      <c r="H147" s="27"/>
      <c r="I147" s="27"/>
      <c r="J147" s="27"/>
      <c r="K147" s="27"/>
      <c r="L147" s="27"/>
      <c r="M147" s="27"/>
      <c r="N147" s="27"/>
      <c r="O147" s="27"/>
      <c r="P147" s="27"/>
      <c r="Q147" s="27"/>
      <c r="R147" s="27"/>
      <c r="S147" s="27"/>
      <c r="T147" s="27"/>
      <c r="U147" s="27"/>
      <c r="V147" s="27"/>
    </row>
    <row r="148" spans="1:22">
      <c r="A148" s="27"/>
      <c r="B148" s="27"/>
      <c r="C148" s="27"/>
      <c r="D148" s="27"/>
      <c r="E148" s="27"/>
      <c r="F148" s="27"/>
      <c r="G148" s="27"/>
      <c r="H148" s="27"/>
      <c r="I148" s="27"/>
      <c r="J148" s="27"/>
      <c r="K148" s="27"/>
      <c r="L148" s="27"/>
      <c r="M148" s="27"/>
      <c r="N148" s="27"/>
      <c r="O148" s="27"/>
      <c r="P148" s="27"/>
      <c r="Q148" s="27"/>
      <c r="R148" s="27"/>
      <c r="S148" s="27"/>
      <c r="T148" s="27"/>
      <c r="U148" s="27"/>
      <c r="V148" s="27"/>
    </row>
    <row r="149" spans="1:22">
      <c r="A149" s="27"/>
      <c r="B149" s="27"/>
      <c r="C149" s="27"/>
      <c r="D149" s="27"/>
      <c r="E149" s="27"/>
      <c r="F149" s="27"/>
      <c r="G149" s="27"/>
      <c r="H149" s="27"/>
      <c r="I149" s="27"/>
      <c r="J149" s="27"/>
      <c r="K149" s="27"/>
      <c r="L149" s="27"/>
      <c r="M149" s="27"/>
      <c r="N149" s="27"/>
      <c r="O149" s="27"/>
      <c r="P149" s="27"/>
      <c r="Q149" s="27"/>
      <c r="R149" s="27"/>
      <c r="S149" s="27"/>
      <c r="T149" s="27"/>
      <c r="U149" s="27"/>
      <c r="V149" s="27"/>
    </row>
    <row r="150" spans="1:22">
      <c r="A150" s="27"/>
      <c r="B150" s="27"/>
      <c r="C150" s="27"/>
      <c r="D150" s="27"/>
      <c r="E150" s="27"/>
      <c r="F150" s="27"/>
      <c r="G150" s="27"/>
      <c r="H150" s="27"/>
      <c r="I150" s="27"/>
      <c r="J150" s="27"/>
      <c r="K150" s="27"/>
      <c r="L150" s="27"/>
      <c r="M150" s="27"/>
      <c r="N150" s="27"/>
      <c r="O150" s="27"/>
      <c r="P150" s="27"/>
      <c r="Q150" s="27"/>
      <c r="R150" s="27"/>
      <c r="S150" s="27"/>
      <c r="T150" s="27"/>
      <c r="U150" s="27"/>
      <c r="V150" s="27"/>
    </row>
    <row r="151" spans="1:22">
      <c r="A151" s="27"/>
      <c r="B151" s="27"/>
      <c r="C151" s="27"/>
      <c r="D151" s="27"/>
      <c r="E151" s="27"/>
      <c r="F151" s="27"/>
      <c r="G151" s="27"/>
      <c r="H151" s="27"/>
      <c r="I151" s="27"/>
      <c r="J151" s="27"/>
      <c r="K151" s="27"/>
      <c r="L151" s="27"/>
      <c r="M151" s="27"/>
      <c r="N151" s="27"/>
      <c r="O151" s="27"/>
      <c r="P151" s="27"/>
      <c r="Q151" s="27"/>
      <c r="R151" s="27"/>
      <c r="S151" s="27"/>
      <c r="T151" s="27"/>
      <c r="U151" s="27"/>
      <c r="V151" s="27"/>
    </row>
    <row r="164" spans="7:12">
      <c r="G164" s="954"/>
      <c r="L164" s="954"/>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75" orientation="landscape" r:id="rId1"/>
  <headerFooter alignWithMargins="0">
    <oddHeader>&amp;R&amp;"Arial,Bold"Formula Rate 
&amp;A
Page &amp;P of &amp;N</oddHeader>
  </headerFooter>
  <rowBreaks count="1" manualBreakCount="1">
    <brk id="102"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70"/>
  <sheetViews>
    <sheetView view="pageBreakPreview" topLeftCell="A6" zoomScale="85" zoomScaleNormal="85" zoomScaleSheetLayoutView="85" workbookViewId="0">
      <selection activeCell="A70" sqref="A70"/>
    </sheetView>
  </sheetViews>
  <sheetFormatPr defaultRowHeight="15"/>
  <cols>
    <col min="1" max="1" width="10.42578125" style="44" customWidth="1"/>
    <col min="2" max="2" width="15.140625" style="17" customWidth="1"/>
    <col min="3" max="3" width="59.140625" style="5" customWidth="1"/>
    <col min="4" max="4" width="15.7109375" style="5" customWidth="1"/>
    <col min="5" max="5" width="22" style="5" customWidth="1"/>
    <col min="6" max="6" width="17.28515625" style="5" customWidth="1"/>
    <col min="7" max="7" width="47.71093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645" t="s">
        <v>114</v>
      </c>
    </row>
    <row r="2" spans="1:11" ht="15.75">
      <c r="A2" s="645" t="s">
        <v>114</v>
      </c>
    </row>
    <row r="3" spans="1:11">
      <c r="A3" s="1251" t="s">
        <v>387</v>
      </c>
      <c r="B3" s="1251"/>
      <c r="C3" s="1251"/>
      <c r="D3" s="1251"/>
      <c r="E3" s="1251"/>
      <c r="F3" s="1251"/>
      <c r="G3" s="1251"/>
      <c r="H3" s="28"/>
    </row>
    <row r="4" spans="1:11" ht="17.25" customHeight="1">
      <c r="A4" s="1252" t="str">
        <f>"Cost of Service Formula Rate Using Actual/Projected FF1 Balances"</f>
        <v>Cost of Service Formula Rate Using Actual/Projected FF1 Balances</v>
      </c>
      <c r="B4" s="1252"/>
      <c r="C4" s="1252"/>
      <c r="D4" s="1252"/>
      <c r="E4" s="1252"/>
      <c r="F4" s="1252"/>
      <c r="G4" s="1252"/>
      <c r="H4" s="72"/>
      <c r="I4" s="72"/>
      <c r="J4" s="72"/>
      <c r="K4" s="72"/>
    </row>
    <row r="5" spans="1:11" ht="18" customHeight="1">
      <c r="A5" s="1252" t="s">
        <v>488</v>
      </c>
      <c r="B5" s="1252"/>
      <c r="C5" s="1252"/>
      <c r="D5" s="1252"/>
      <c r="E5" s="1252"/>
      <c r="F5" s="1252"/>
      <c r="G5" s="1252"/>
    </row>
    <row r="6" spans="1:11" ht="19.5" customHeight="1">
      <c r="A6" s="1260" t="str">
        <f>TCOS!F9</f>
        <v>WHEELING POWER COMPANY</v>
      </c>
      <c r="B6" s="1260"/>
      <c r="C6" s="1260"/>
      <c r="D6" s="1260"/>
      <c r="E6" s="1260"/>
      <c r="F6" s="1260"/>
      <c r="G6" s="1260"/>
    </row>
    <row r="7" spans="1:11" ht="12.75" customHeight="1">
      <c r="A7" s="1251"/>
      <c r="B7" s="1251"/>
      <c r="C7" s="1251"/>
      <c r="D7" s="1251"/>
      <c r="E7" s="1251"/>
      <c r="F7" s="1251"/>
      <c r="G7" s="34"/>
    </row>
    <row r="8" spans="1:11" ht="18">
      <c r="A8" s="1282"/>
      <c r="B8" s="1282"/>
      <c r="C8" s="1282"/>
      <c r="D8" s="1282"/>
      <c r="E8" s="1282"/>
      <c r="F8" s="1282"/>
      <c r="G8" s="1282"/>
    </row>
    <row r="9" spans="1:11" ht="18">
      <c r="A9" s="128"/>
      <c r="B9" s="128"/>
      <c r="C9" s="128"/>
      <c r="D9" s="128"/>
      <c r="E9" s="128"/>
      <c r="F9" s="128"/>
      <c r="G9" s="128"/>
    </row>
    <row r="10" spans="1:11" ht="15.75">
      <c r="B10" s="25" t="s">
        <v>162</v>
      </c>
      <c r="C10" s="25" t="s">
        <v>163</v>
      </c>
      <c r="D10" s="25" t="s">
        <v>164</v>
      </c>
      <c r="E10" s="25" t="s">
        <v>165</v>
      </c>
      <c r="F10" s="25" t="s">
        <v>84</v>
      </c>
      <c r="G10" s="25" t="s">
        <v>85</v>
      </c>
    </row>
    <row r="11" spans="1:11" ht="15.75">
      <c r="B11" s="36"/>
      <c r="C11" s="34"/>
      <c r="D11" s="152"/>
      <c r="E11" s="153"/>
      <c r="F11" s="154" t="s">
        <v>87</v>
      </c>
      <c r="G11" s="25"/>
    </row>
    <row r="12" spans="1:11" ht="15.75">
      <c r="A12" s="39" t="s">
        <v>169</v>
      </c>
      <c r="B12" s="36"/>
      <c r="C12" s="45"/>
      <c r="D12" s="39">
        <f>+TCOS!L4</f>
        <v>2026</v>
      </c>
      <c r="E12" s="154" t="s">
        <v>87</v>
      </c>
      <c r="F12" s="39" t="s">
        <v>115</v>
      </c>
      <c r="G12" s="25"/>
    </row>
    <row r="13" spans="1:11" ht="15.75">
      <c r="A13" s="39" t="s">
        <v>106</v>
      </c>
      <c r="B13" s="39" t="s">
        <v>36</v>
      </c>
      <c r="C13" s="39" t="s">
        <v>167</v>
      </c>
      <c r="D13" s="39" t="s">
        <v>37</v>
      </c>
      <c r="E13" s="39" t="s">
        <v>89</v>
      </c>
      <c r="F13" s="39" t="s">
        <v>38</v>
      </c>
      <c r="G13" s="39" t="s">
        <v>39</v>
      </c>
    </row>
    <row r="14" spans="1:11" ht="15.75">
      <c r="B14" s="39"/>
      <c r="C14" s="39"/>
      <c r="D14" s="39"/>
      <c r="E14" s="39"/>
      <c r="F14" s="39"/>
      <c r="G14" s="39"/>
    </row>
    <row r="15" spans="1:11" ht="15.75">
      <c r="B15" s="39"/>
      <c r="C15" s="39"/>
      <c r="D15" s="39"/>
      <c r="E15" s="39"/>
      <c r="F15" s="39"/>
      <c r="G15" s="39"/>
    </row>
    <row r="16" spans="1:11" ht="15.75">
      <c r="B16" s="39"/>
      <c r="D16" s="39"/>
      <c r="E16" s="39"/>
      <c r="F16" s="39"/>
      <c r="G16" s="39"/>
    </row>
    <row r="17" spans="1:7" ht="15.75">
      <c r="B17" s="39"/>
      <c r="C17" s="39" t="s">
        <v>496</v>
      </c>
      <c r="D17" s="32"/>
      <c r="E17" s="32"/>
      <c r="F17" s="32"/>
      <c r="G17" s="68"/>
    </row>
    <row r="18" spans="1:7">
      <c r="A18" s="44">
        <v>1</v>
      </c>
      <c r="B18" s="614"/>
      <c r="C18" s="615"/>
      <c r="D18" s="616"/>
      <c r="E18" s="50"/>
      <c r="F18" s="50"/>
      <c r="G18" s="641"/>
    </row>
    <row r="19" spans="1:7">
      <c r="A19" s="44">
        <v>2</v>
      </c>
      <c r="B19" s="614"/>
      <c r="C19" s="615"/>
      <c r="D19" s="616"/>
      <c r="E19" s="50"/>
      <c r="F19" s="50"/>
      <c r="G19" s="31"/>
    </row>
    <row r="20" spans="1:7">
      <c r="A20" s="44">
        <v>3</v>
      </c>
      <c r="B20" s="614"/>
      <c r="C20" s="615"/>
      <c r="D20" s="616"/>
      <c r="E20" s="50"/>
      <c r="F20" s="50"/>
      <c r="G20" s="31"/>
    </row>
    <row r="21" spans="1:7" ht="15.75">
      <c r="A21" s="44">
        <v>4</v>
      </c>
      <c r="B21" s="39"/>
      <c r="C21" s="178" t="s">
        <v>118</v>
      </c>
      <c r="D21" s="228">
        <f>SUM(D18:D19)</f>
        <v>0</v>
      </c>
      <c r="E21" s="50"/>
      <c r="F21" s="50"/>
      <c r="G21" s="39"/>
    </row>
    <row r="22" spans="1:7" ht="15.75">
      <c r="B22" s="39"/>
      <c r="C22" s="178"/>
      <c r="D22" s="191"/>
      <c r="E22" s="32"/>
      <c r="F22" s="32"/>
      <c r="G22" s="39"/>
    </row>
    <row r="23" spans="1:7" ht="15.75">
      <c r="A23" s="5"/>
      <c r="B23" s="39"/>
      <c r="C23" s="39" t="s">
        <v>49</v>
      </c>
      <c r="D23" s="47"/>
      <c r="E23" s="32"/>
      <c r="F23" s="32"/>
      <c r="G23" s="39"/>
    </row>
    <row r="24" spans="1:7" ht="15.75">
      <c r="A24" s="38">
        <f>+A21+1</f>
        <v>5</v>
      </c>
      <c r="B24" s="15"/>
      <c r="C24" s="187"/>
      <c r="D24" s="817"/>
      <c r="E24" s="32"/>
      <c r="F24" s="32"/>
      <c r="G24" s="39"/>
    </row>
    <row r="25" spans="1:7" ht="15.75">
      <c r="A25" s="225">
        <f>+A24+1</f>
        <v>6</v>
      </c>
      <c r="B25" s="15" t="s">
        <v>50</v>
      </c>
      <c r="C25" s="15" t="s">
        <v>51</v>
      </c>
      <c r="D25" s="964">
        <v>0</v>
      </c>
      <c r="E25" s="32"/>
      <c r="F25" s="32"/>
      <c r="G25" s="39"/>
    </row>
    <row r="26" spans="1:7" ht="15.75">
      <c r="A26" s="38">
        <f>+A25+1</f>
        <v>7</v>
      </c>
      <c r="B26" s="187" t="s">
        <v>52</v>
      </c>
      <c r="C26" s="187" t="s">
        <v>53</v>
      </c>
      <c r="D26" s="964">
        <v>27189.353834535101</v>
      </c>
      <c r="E26" s="32"/>
      <c r="F26" s="32"/>
      <c r="G26" s="39"/>
    </row>
    <row r="27" spans="1:7" ht="15.75">
      <c r="A27" s="225">
        <f t="shared" ref="A27:A32" si="0">+A26+1</f>
        <v>8</v>
      </c>
      <c r="B27" s="15" t="s">
        <v>54</v>
      </c>
      <c r="C27" s="15" t="s">
        <v>55</v>
      </c>
      <c r="D27" s="964">
        <v>19.57007723888217</v>
      </c>
      <c r="E27" s="32"/>
      <c r="F27" s="32"/>
      <c r="G27" s="39"/>
    </row>
    <row r="28" spans="1:7" ht="15.75">
      <c r="A28" s="38">
        <f t="shared" si="0"/>
        <v>9</v>
      </c>
      <c r="B28" s="187" t="s">
        <v>56</v>
      </c>
      <c r="C28" s="187" t="s">
        <v>57</v>
      </c>
      <c r="D28" s="964">
        <v>1132295.6940471041</v>
      </c>
      <c r="E28" s="32"/>
      <c r="F28" s="32"/>
      <c r="G28" s="39"/>
    </row>
    <row r="29" spans="1:7" ht="15.75">
      <c r="A29" s="225">
        <f t="shared" si="0"/>
        <v>10</v>
      </c>
      <c r="B29" s="15" t="s">
        <v>58</v>
      </c>
      <c r="C29" s="15" t="s">
        <v>59</v>
      </c>
      <c r="D29" s="964">
        <v>20512.780933434693</v>
      </c>
      <c r="E29" s="32"/>
      <c r="F29" s="32"/>
      <c r="G29" s="39"/>
    </row>
    <row r="30" spans="1:7" ht="15.75">
      <c r="A30" s="38">
        <f t="shared" si="0"/>
        <v>11</v>
      </c>
      <c r="B30" s="187" t="s">
        <v>60</v>
      </c>
      <c r="C30" s="187" t="s">
        <v>61</v>
      </c>
      <c r="D30" s="964">
        <v>0</v>
      </c>
      <c r="E30" s="32"/>
      <c r="F30" s="32"/>
      <c r="G30" s="39"/>
    </row>
    <row r="31" spans="1:7" ht="15.75">
      <c r="A31" s="225">
        <f t="shared" si="0"/>
        <v>12</v>
      </c>
      <c r="B31" s="15" t="s">
        <v>62</v>
      </c>
      <c r="C31" s="15" t="s">
        <v>63</v>
      </c>
      <c r="D31" s="964">
        <v>0</v>
      </c>
      <c r="E31" s="32"/>
      <c r="F31" s="32"/>
      <c r="G31" s="39"/>
    </row>
    <row r="32" spans="1:7" ht="15.75">
      <c r="A32" s="38">
        <f t="shared" si="0"/>
        <v>13</v>
      </c>
      <c r="B32" s="187" t="s">
        <v>64</v>
      </c>
      <c r="C32" s="187" t="s">
        <v>65</v>
      </c>
      <c r="D32" s="964">
        <v>365638.34567473206</v>
      </c>
      <c r="E32" s="32"/>
      <c r="F32" s="32"/>
      <c r="G32" s="39"/>
    </row>
    <row r="33" spans="1:19" ht="15.75">
      <c r="A33" s="44">
        <f>+A32+1</f>
        <v>14</v>
      </c>
      <c r="B33" s="205"/>
      <c r="C33" s="25" t="s">
        <v>66</v>
      </c>
      <c r="D33" s="206">
        <f>SUM(D25:D32)</f>
        <v>1545655.7445670448</v>
      </c>
      <c r="E33" s="32"/>
      <c r="F33" s="32"/>
      <c r="G33" s="39"/>
    </row>
    <row r="34" spans="1:19" ht="15.75">
      <c r="A34" s="174"/>
      <c r="B34" s="49"/>
      <c r="C34" s="39"/>
      <c r="D34" s="39"/>
      <c r="E34" s="39"/>
      <c r="F34" s="39"/>
      <c r="G34" s="39"/>
    </row>
    <row r="35" spans="1:19" ht="15.75">
      <c r="A35" s="174"/>
      <c r="B35" s="38"/>
      <c r="C35" s="74" t="s">
        <v>212</v>
      </c>
      <c r="D35" s="34"/>
      <c r="E35" s="34"/>
      <c r="F35" s="34"/>
      <c r="G35" s="34"/>
    </row>
    <row r="36" spans="1:19">
      <c r="A36" s="44">
        <f>+A33+1</f>
        <v>15</v>
      </c>
      <c r="B36" s="903" t="s">
        <v>865</v>
      </c>
      <c r="C36" s="615" t="s">
        <v>866</v>
      </c>
      <c r="D36" s="904">
        <v>646.8765860582464</v>
      </c>
      <c r="E36" s="1056">
        <v>559.52506589891527</v>
      </c>
      <c r="F36" s="1056">
        <v>87.351520159331102</v>
      </c>
      <c r="G36" s="31" t="s">
        <v>114</v>
      </c>
    </row>
    <row r="37" spans="1:19">
      <c r="A37" s="44">
        <f>+A36+1</f>
        <v>16</v>
      </c>
      <c r="B37" s="614" t="s">
        <v>893</v>
      </c>
      <c r="C37" s="615" t="s">
        <v>894</v>
      </c>
      <c r="D37" s="904">
        <v>407.53442505452256</v>
      </c>
      <c r="E37" s="1056">
        <v>358.10943194655079</v>
      </c>
      <c r="F37" s="1056">
        <v>49.424993107971794</v>
      </c>
      <c r="G37" s="31" t="s">
        <v>114</v>
      </c>
    </row>
    <row r="38" spans="1:19">
      <c r="A38" s="44">
        <f t="shared" ref="A38:A41" si="1">+A37+1</f>
        <v>17</v>
      </c>
      <c r="B38" s="614" t="s">
        <v>895</v>
      </c>
      <c r="C38" s="615" t="s">
        <v>896</v>
      </c>
      <c r="D38" s="904">
        <v>19619.881170318615</v>
      </c>
      <c r="E38" s="1056">
        <v>17253.272577199416</v>
      </c>
      <c r="F38" s="1056">
        <v>2366.6085931191988</v>
      </c>
      <c r="G38" s="31" t="s">
        <v>114</v>
      </c>
    </row>
    <row r="39" spans="1:19">
      <c r="A39" s="44">
        <f t="shared" si="1"/>
        <v>18</v>
      </c>
      <c r="B39" s="614" t="s">
        <v>897</v>
      </c>
      <c r="C39" s="615" t="s">
        <v>898</v>
      </c>
      <c r="D39" s="904">
        <v>7987.416977972176</v>
      </c>
      <c r="E39" s="1056">
        <v>300.04803638557678</v>
      </c>
      <c r="F39" s="1056">
        <v>7687.3689415865992</v>
      </c>
      <c r="G39" s="31" t="s">
        <v>114</v>
      </c>
    </row>
    <row r="40" spans="1:19" ht="12.75" customHeight="1">
      <c r="A40" s="44">
        <f t="shared" si="1"/>
        <v>19</v>
      </c>
      <c r="B40" s="614">
        <v>9280006</v>
      </c>
      <c r="C40" s="615" t="s">
        <v>1026</v>
      </c>
      <c r="D40" s="904">
        <v>1735891.0842692277</v>
      </c>
      <c r="E40" s="1056">
        <v>1735891.0842692277</v>
      </c>
      <c r="F40" s="1056">
        <v>0</v>
      </c>
      <c r="G40" s="34"/>
    </row>
    <row r="41" spans="1:19" ht="15.75" customHeight="1">
      <c r="A41" s="44">
        <f t="shared" si="1"/>
        <v>20</v>
      </c>
      <c r="B41" s="36"/>
      <c r="C41" s="818" t="s">
        <v>617</v>
      </c>
      <c r="D41" s="46">
        <f>SUM(D36:D40)</f>
        <v>1764552.7934286313</v>
      </c>
      <c r="E41" s="46">
        <f>SUM(E36:E40)</f>
        <v>1754362.0393806582</v>
      </c>
      <c r="F41" s="46">
        <f>SUM(F36:F40)</f>
        <v>10190.754047973101</v>
      </c>
      <c r="G41" s="19"/>
    </row>
    <row r="42" spans="1:19" ht="12.75" customHeight="1">
      <c r="B42" s="36"/>
      <c r="C42" s="37"/>
      <c r="D42" s="48"/>
      <c r="E42" s="21"/>
      <c r="F42" s="21"/>
      <c r="G42" s="34"/>
    </row>
    <row r="43" spans="1:19" ht="15.75">
      <c r="B43" s="38"/>
      <c r="C43" s="74" t="s">
        <v>211</v>
      </c>
      <c r="D43" s="21"/>
      <c r="E43" s="21"/>
      <c r="F43" s="21"/>
      <c r="G43" s="34"/>
    </row>
    <row r="44" spans="1:19">
      <c r="A44" s="44">
        <f>+A41+1</f>
        <v>21</v>
      </c>
      <c r="B44" s="903" t="s">
        <v>865</v>
      </c>
      <c r="C44" s="615" t="s">
        <v>866</v>
      </c>
      <c r="D44" s="904">
        <v>0</v>
      </c>
      <c r="E44" s="1056">
        <v>0</v>
      </c>
      <c r="F44" s="1056">
        <v>0</v>
      </c>
      <c r="G44"/>
      <c r="M44" s="18"/>
      <c r="N44" s="18"/>
      <c r="O44" s="20"/>
      <c r="P44" s="20"/>
      <c r="Q44" s="20"/>
      <c r="R44" s="20"/>
      <c r="S44" s="20"/>
    </row>
    <row r="45" spans="1:19">
      <c r="A45" s="44">
        <f>+A44+1</f>
        <v>22</v>
      </c>
      <c r="B45" s="614" t="s">
        <v>893</v>
      </c>
      <c r="C45" s="615" t="s">
        <v>894</v>
      </c>
      <c r="D45" s="904">
        <v>0</v>
      </c>
      <c r="E45" s="1056">
        <v>0</v>
      </c>
      <c r="F45" s="1056">
        <v>0</v>
      </c>
      <c r="G45"/>
      <c r="M45" s="18"/>
      <c r="N45" s="18"/>
      <c r="O45" s="20"/>
      <c r="P45" s="20"/>
      <c r="Q45" s="20"/>
      <c r="R45" s="20"/>
      <c r="S45" s="20"/>
    </row>
    <row r="46" spans="1:19">
      <c r="A46" s="44">
        <f t="shared" ref="A46:A59" si="2">+A45+1</f>
        <v>23</v>
      </c>
      <c r="B46" s="614" t="s">
        <v>895</v>
      </c>
      <c r="C46" s="615" t="s">
        <v>896</v>
      </c>
      <c r="D46" s="904">
        <v>0</v>
      </c>
      <c r="E46" s="1056">
        <v>0</v>
      </c>
      <c r="F46" s="1056">
        <v>0</v>
      </c>
      <c r="G46"/>
      <c r="M46" s="18"/>
      <c r="N46" s="18"/>
      <c r="O46" s="20"/>
      <c r="P46" s="20"/>
      <c r="Q46" s="20"/>
      <c r="R46" s="20"/>
      <c r="S46" s="20"/>
    </row>
    <row r="47" spans="1:19">
      <c r="A47" s="44">
        <f t="shared" si="2"/>
        <v>24</v>
      </c>
      <c r="B47" s="614" t="s">
        <v>987</v>
      </c>
      <c r="C47" s="615" t="s">
        <v>988</v>
      </c>
      <c r="D47" s="904">
        <v>0</v>
      </c>
      <c r="E47" s="1056">
        <v>0</v>
      </c>
      <c r="F47" s="1056">
        <v>0</v>
      </c>
      <c r="G47"/>
      <c r="M47" s="18"/>
      <c r="N47" s="18"/>
      <c r="O47" s="20"/>
      <c r="P47" s="20"/>
      <c r="Q47" s="20"/>
      <c r="R47" s="20"/>
      <c r="S47" s="20"/>
    </row>
    <row r="48" spans="1:19">
      <c r="A48" s="44">
        <f>+A47+1</f>
        <v>25</v>
      </c>
      <c r="B48" s="614" t="s">
        <v>897</v>
      </c>
      <c r="C48" s="615" t="s">
        <v>898</v>
      </c>
      <c r="D48" s="904">
        <v>0</v>
      </c>
      <c r="E48" s="1056">
        <v>0</v>
      </c>
      <c r="F48" s="1056">
        <v>0</v>
      </c>
      <c r="G48"/>
      <c r="M48" s="18"/>
      <c r="N48" s="18"/>
      <c r="O48" s="20"/>
      <c r="P48" s="20"/>
      <c r="Q48" s="20"/>
      <c r="R48" s="20"/>
      <c r="S48" s="20"/>
    </row>
    <row r="49" spans="1:19">
      <c r="A49" s="44">
        <f t="shared" si="2"/>
        <v>26</v>
      </c>
      <c r="B49" s="903"/>
      <c r="C49" s="615"/>
      <c r="D49" s="904"/>
      <c r="E49" s="32"/>
      <c r="F49" s="32"/>
      <c r="G49"/>
      <c r="M49" s="18"/>
      <c r="N49" s="18"/>
      <c r="O49" s="20"/>
      <c r="P49" s="20"/>
      <c r="Q49" s="20"/>
      <c r="R49" s="20"/>
      <c r="S49" s="20"/>
    </row>
    <row r="50" spans="1:19">
      <c r="A50" s="44">
        <f t="shared" si="2"/>
        <v>27</v>
      </c>
      <c r="B50" s="614"/>
      <c r="C50" s="615"/>
      <c r="D50" s="616"/>
      <c r="E50" s="32"/>
      <c r="F50" s="32"/>
      <c r="G50"/>
      <c r="M50" s="18"/>
      <c r="N50" s="18"/>
      <c r="O50" s="20"/>
      <c r="P50" s="20"/>
      <c r="Q50" s="20"/>
      <c r="R50" s="20"/>
      <c r="S50" s="20"/>
    </row>
    <row r="51" spans="1:19">
      <c r="A51" s="44">
        <f t="shared" si="2"/>
        <v>28</v>
      </c>
      <c r="B51" s="614"/>
      <c r="C51" s="615"/>
      <c r="D51" s="616"/>
      <c r="E51" s="32"/>
      <c r="F51" s="32"/>
      <c r="G51"/>
      <c r="M51" s="18"/>
      <c r="N51" s="18"/>
      <c r="O51" s="20"/>
      <c r="P51" s="20"/>
      <c r="Q51" s="20"/>
      <c r="R51" s="20"/>
      <c r="S51" s="20"/>
    </row>
    <row r="52" spans="1:19">
      <c r="A52" s="44">
        <f>A51+1</f>
        <v>29</v>
      </c>
      <c r="B52" s="614"/>
      <c r="C52" s="615"/>
      <c r="D52" s="616"/>
      <c r="E52" s="32"/>
      <c r="F52" s="32"/>
      <c r="G52"/>
      <c r="M52" s="18"/>
      <c r="N52" s="18"/>
      <c r="O52" s="20"/>
      <c r="P52" s="20"/>
      <c r="Q52" s="20"/>
      <c r="R52" s="20"/>
      <c r="S52" s="20"/>
    </row>
    <row r="53" spans="1:19">
      <c r="A53" s="44">
        <f>A52+1</f>
        <v>30</v>
      </c>
      <c r="B53" s="614"/>
      <c r="C53" s="615"/>
      <c r="D53" s="616"/>
      <c r="E53" s="32"/>
      <c r="F53" s="32"/>
      <c r="G53"/>
      <c r="M53" s="18"/>
      <c r="N53" s="18"/>
      <c r="O53" s="20"/>
      <c r="P53" s="20"/>
      <c r="Q53" s="20"/>
      <c r="R53" s="20"/>
      <c r="S53" s="20"/>
    </row>
    <row r="54" spans="1:19">
      <c r="A54" s="44">
        <f>A53+1</f>
        <v>31</v>
      </c>
      <c r="B54" s="614"/>
      <c r="C54" s="615"/>
      <c r="D54" s="616"/>
      <c r="E54" s="32"/>
      <c r="F54" s="32"/>
      <c r="G54"/>
      <c r="M54" s="18"/>
      <c r="N54" s="18"/>
      <c r="O54" s="20"/>
      <c r="P54" s="20"/>
      <c r="Q54" s="20"/>
      <c r="R54" s="20"/>
      <c r="S54" s="20"/>
    </row>
    <row r="55" spans="1:19">
      <c r="A55" s="44">
        <f>A54+1</f>
        <v>32</v>
      </c>
      <c r="B55" s="614"/>
      <c r="C55" s="615"/>
      <c r="D55" s="616"/>
      <c r="E55" s="32"/>
      <c r="F55" s="35"/>
      <c r="G55"/>
      <c r="M55" s="18"/>
      <c r="N55" s="18"/>
      <c r="O55" s="20"/>
      <c r="P55" s="20"/>
      <c r="Q55" s="20"/>
      <c r="R55" s="20"/>
      <c r="S55" s="20"/>
    </row>
    <row r="56" spans="1:19">
      <c r="A56" s="44">
        <f t="shared" si="2"/>
        <v>33</v>
      </c>
      <c r="B56" s="614"/>
      <c r="C56" s="615"/>
      <c r="D56" s="616"/>
      <c r="E56" s="32"/>
      <c r="F56" s="35"/>
      <c r="G56"/>
    </row>
    <row r="57" spans="1:19">
      <c r="A57" s="44">
        <f t="shared" si="2"/>
        <v>34</v>
      </c>
      <c r="B57" s="614"/>
      <c r="C57" s="615"/>
      <c r="D57" s="616"/>
      <c r="E57" s="32"/>
      <c r="F57" s="35"/>
      <c r="G57" s="34"/>
    </row>
    <row r="58" spans="1:19">
      <c r="A58" s="44">
        <f t="shared" si="2"/>
        <v>35</v>
      </c>
      <c r="B58" s="614"/>
      <c r="C58" s="615"/>
      <c r="D58" s="616"/>
      <c r="E58" s="32"/>
      <c r="F58" s="35"/>
      <c r="G58" s="34"/>
    </row>
    <row r="59" spans="1:19">
      <c r="A59" s="44">
        <f t="shared" si="2"/>
        <v>36</v>
      </c>
      <c r="B59" s="614"/>
      <c r="C59" s="615"/>
      <c r="D59" s="616"/>
      <c r="E59" s="32"/>
      <c r="F59" s="35"/>
      <c r="G59" s="34"/>
    </row>
    <row r="60" spans="1:19">
      <c r="B60" s="33"/>
      <c r="C60" s="34"/>
      <c r="D60" s="40"/>
      <c r="E60" s="41"/>
      <c r="F60" s="40"/>
      <c r="G60" s="34"/>
    </row>
    <row r="61" spans="1:19" ht="15.75">
      <c r="A61" s="44">
        <f>A59+1</f>
        <v>37</v>
      </c>
      <c r="B61" s="36"/>
      <c r="C61" s="818" t="s">
        <v>618</v>
      </c>
      <c r="D61" s="42">
        <f>SUM(D44:D60)</f>
        <v>0</v>
      </c>
      <c r="E61" s="42">
        <f>SUM(E44:E60)</f>
        <v>0</v>
      </c>
      <c r="F61" s="42">
        <f>SUM(F44:F60)</f>
        <v>0</v>
      </c>
      <c r="G61" s="19"/>
    </row>
    <row r="62" spans="1:19" ht="12.75" customHeight="1">
      <c r="B62" s="27"/>
      <c r="C62" s="27"/>
      <c r="D62" s="27"/>
      <c r="E62" s="27"/>
      <c r="F62" s="27"/>
      <c r="G62" s="27"/>
    </row>
    <row r="63" spans="1:19" ht="15.75">
      <c r="B63" s="25"/>
      <c r="C63" s="74" t="s">
        <v>210</v>
      </c>
      <c r="D63" s="43"/>
      <c r="E63" s="43"/>
      <c r="F63" s="43"/>
      <c r="G63" s="25"/>
    </row>
    <row r="64" spans="1:19">
      <c r="A64" s="44">
        <f>+A61+1</f>
        <v>38</v>
      </c>
      <c r="B64" s="903" t="s">
        <v>867</v>
      </c>
      <c r="C64" s="615" t="s">
        <v>868</v>
      </c>
      <c r="D64" s="904">
        <v>84643.187628611573</v>
      </c>
      <c r="E64" s="1056">
        <v>74189.957131339499</v>
      </c>
      <c r="F64" s="1056">
        <v>10453.230497272067</v>
      </c>
      <c r="G64" s="18"/>
      <c r="H64" s="18"/>
      <c r="J64" s="20"/>
      <c r="K64" s="20"/>
    </row>
    <row r="65" spans="1:11">
      <c r="A65" s="44">
        <f>+A64+1</f>
        <v>39</v>
      </c>
      <c r="B65" s="903" t="s">
        <v>869</v>
      </c>
      <c r="C65" s="615" t="s">
        <v>870</v>
      </c>
      <c r="D65" s="904">
        <v>16477.62111389709</v>
      </c>
      <c r="E65" s="1056">
        <v>15751.848179613367</v>
      </c>
      <c r="F65" s="1056">
        <v>725.77293428372241</v>
      </c>
      <c r="G65" s="18"/>
      <c r="H65" s="18"/>
      <c r="J65" s="20"/>
      <c r="K65" s="20"/>
    </row>
    <row r="66" spans="1:11">
      <c r="A66" s="44">
        <f t="shared" ref="A66:A67" si="3">+A65+1</f>
        <v>40</v>
      </c>
      <c r="B66" s="903" t="s">
        <v>871</v>
      </c>
      <c r="C66" s="615" t="s">
        <v>872</v>
      </c>
      <c r="D66" s="904">
        <v>126.01294307748948</v>
      </c>
      <c r="E66" s="1056">
        <v>116.22252474735737</v>
      </c>
      <c r="F66" s="1056">
        <v>9.7904183301321179</v>
      </c>
      <c r="G66" s="18"/>
      <c r="H66" s="18"/>
      <c r="J66" s="20"/>
      <c r="K66" s="20"/>
    </row>
    <row r="67" spans="1:11">
      <c r="A67" s="44">
        <f t="shared" si="3"/>
        <v>41</v>
      </c>
      <c r="B67" s="903" t="s">
        <v>873</v>
      </c>
      <c r="C67" s="615" t="s">
        <v>874</v>
      </c>
      <c r="D67" s="904">
        <v>33105.229133191198</v>
      </c>
      <c r="E67" s="1056">
        <v>21554.312502640765</v>
      </c>
      <c r="F67" s="1056">
        <v>11550.916630550431</v>
      </c>
      <c r="G67" s="18"/>
      <c r="H67" s="18"/>
      <c r="J67" s="20"/>
      <c r="K67" s="20"/>
    </row>
    <row r="68" spans="1:11">
      <c r="B68" s="229"/>
      <c r="C68" s="230"/>
      <c r="D68" s="230"/>
      <c r="E68" s="27"/>
      <c r="F68" s="27"/>
      <c r="G68" s="27"/>
    </row>
    <row r="69" spans="1:11" ht="15.75">
      <c r="A69" s="44">
        <f>A67+1</f>
        <v>42</v>
      </c>
      <c r="B69" s="27"/>
      <c r="C69" s="818" t="s">
        <v>619</v>
      </c>
      <c r="D69" s="1057">
        <f>SUM(D64:D67)</f>
        <v>134352.05081877735</v>
      </c>
      <c r="E69" s="1057">
        <f>SUM(E64:E67)</f>
        <v>111612.34033834099</v>
      </c>
      <c r="F69" s="1057">
        <f>SUM(F64:F67)</f>
        <v>22739.710480436355</v>
      </c>
      <c r="G69" s="19"/>
    </row>
    <row r="70" spans="1:11">
      <c r="B70" s="67"/>
      <c r="C70"/>
      <c r="D70" s="227"/>
      <c r="E70"/>
      <c r="F70"/>
      <c r="G70"/>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37"/>
  <sheetViews>
    <sheetView view="pageBreakPreview" zoomScaleNormal="100" zoomScaleSheetLayoutView="100" workbookViewId="0">
      <selection activeCell="F31" sqref="F31"/>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645" t="s">
        <v>114</v>
      </c>
    </row>
    <row r="2" spans="1:15" ht="15.75">
      <c r="A2" s="645" t="s">
        <v>114</v>
      </c>
    </row>
    <row r="3" spans="1:15" ht="15">
      <c r="A3" s="1251" t="s">
        <v>387</v>
      </c>
      <c r="B3" s="1251"/>
      <c r="C3" s="1251"/>
      <c r="D3" s="1251"/>
      <c r="E3" s="1251"/>
      <c r="F3" s="1251"/>
      <c r="G3" s="1251"/>
      <c r="H3" s="1251"/>
    </row>
    <row r="4" spans="1:15" ht="15">
      <c r="A4" s="1252" t="str">
        <f>"Cost of Service Formula Rate Using Actual/Projected FF1 Balances"</f>
        <v>Cost of Service Formula Rate Using Actual/Projected FF1 Balances</v>
      </c>
      <c r="B4" s="1252"/>
      <c r="C4" s="1252"/>
      <c r="D4" s="1252"/>
      <c r="E4" s="1252"/>
      <c r="F4" s="1252"/>
      <c r="G4" s="1252"/>
      <c r="H4" s="1252"/>
    </row>
    <row r="5" spans="1:15" ht="15">
      <c r="A5" s="1252" t="s">
        <v>527</v>
      </c>
      <c r="B5" s="1252"/>
      <c r="C5" s="1252"/>
      <c r="D5" s="1252"/>
      <c r="E5" s="1252"/>
      <c r="F5" s="1252"/>
      <c r="G5" s="1252"/>
      <c r="H5" s="1252"/>
    </row>
    <row r="6" spans="1:15" ht="15">
      <c r="A6" s="1260" t="str">
        <f>TCOS!F9</f>
        <v>WHEELING POWER COMPANY</v>
      </c>
      <c r="B6" s="1260"/>
      <c r="C6" s="1260"/>
      <c r="D6" s="1260"/>
      <c r="E6" s="1260"/>
      <c r="F6" s="1260"/>
      <c r="G6" s="1260"/>
    </row>
    <row r="7" spans="1:15" ht="12.75" customHeight="1">
      <c r="A7" s="13"/>
      <c r="B7" s="14"/>
      <c r="C7" s="14"/>
      <c r="D7" s="14"/>
      <c r="E7" s="14"/>
      <c r="F7" s="14"/>
      <c r="G7" s="14"/>
      <c r="H7" s="14"/>
      <c r="I7" s="14"/>
      <c r="J7" s="14"/>
      <c r="O7" s="10"/>
    </row>
    <row r="8" spans="1:15" ht="12.75" customHeight="1">
      <c r="A8" s="13"/>
      <c r="B8" s="11" t="s">
        <v>1096</v>
      </c>
      <c r="C8" s="26"/>
      <c r="D8" s="29"/>
      <c r="E8" s="1119">
        <v>6.5000000000000002E-2</v>
      </c>
      <c r="F8" s="30"/>
      <c r="G8" s="14"/>
      <c r="H8" s="14"/>
      <c r="I8" s="14"/>
      <c r="J8" s="14"/>
      <c r="O8" s="10"/>
    </row>
    <row r="9" spans="1:15" ht="14.45" customHeight="1">
      <c r="A9" s="13"/>
      <c r="B9" s="11" t="s">
        <v>875</v>
      </c>
      <c r="C9" s="26"/>
      <c r="D9" s="26"/>
      <c r="E9" s="1120">
        <v>0.99390000000000001</v>
      </c>
      <c r="G9" s="14"/>
      <c r="H9" s="14"/>
      <c r="I9" s="14"/>
      <c r="J9" s="14"/>
      <c r="O9" s="10"/>
    </row>
    <row r="10" spans="1:15" ht="12.75" customHeight="1">
      <c r="A10" s="13"/>
      <c r="B10" s="11" t="s">
        <v>448</v>
      </c>
      <c r="C10" s="26"/>
      <c r="D10" s="26"/>
      <c r="E10" s="30"/>
      <c r="F10" s="30">
        <f>ROUND(E8*E9,4)</f>
        <v>6.4600000000000005E-2</v>
      </c>
      <c r="G10" s="14"/>
      <c r="H10" s="14"/>
      <c r="I10" s="14"/>
      <c r="J10" s="14"/>
      <c r="O10" s="10"/>
    </row>
    <row r="11" spans="1:15" ht="12.75" customHeight="1">
      <c r="A11" s="13"/>
      <c r="B11" s="11"/>
      <c r="C11" s="26"/>
      <c r="D11" s="26"/>
      <c r="E11" s="30"/>
      <c r="F11" s="30"/>
      <c r="G11" s="14"/>
      <c r="H11" s="14"/>
      <c r="I11" s="14"/>
      <c r="J11" s="14"/>
      <c r="O11" s="10"/>
    </row>
    <row r="12" spans="1:15" ht="12.75" customHeight="1">
      <c r="A12" s="13"/>
      <c r="B12" s="11" t="s">
        <v>1097</v>
      </c>
      <c r="C12" s="26"/>
      <c r="D12" s="26"/>
      <c r="E12" s="1119">
        <v>9.5000000000000001E-2</v>
      </c>
      <c r="F12" s="30"/>
      <c r="G12" s="14"/>
      <c r="H12" s="14"/>
      <c r="I12" s="14"/>
      <c r="J12" s="14"/>
      <c r="O12" s="10"/>
    </row>
    <row r="13" spans="1:15" ht="12.75" customHeight="1">
      <c r="A13" s="13"/>
      <c r="B13" s="11" t="s">
        <v>875</v>
      </c>
      <c r="C13" s="26"/>
      <c r="D13" s="26"/>
      <c r="E13" s="1120">
        <v>6.9999999999999999E-4</v>
      </c>
      <c r="F13" s="30"/>
      <c r="G13" s="14"/>
      <c r="H13" s="14"/>
      <c r="I13" s="14"/>
      <c r="J13" s="14"/>
      <c r="O13" s="10"/>
    </row>
    <row r="14" spans="1:15" ht="12.75" customHeight="1">
      <c r="A14" s="13"/>
      <c r="B14" s="11" t="s">
        <v>448</v>
      </c>
      <c r="C14" s="26"/>
      <c r="D14" s="26"/>
      <c r="E14" s="30"/>
      <c r="F14" s="30">
        <f>ROUND(E12*E13,4)</f>
        <v>1E-4</v>
      </c>
      <c r="G14" s="14"/>
      <c r="H14" s="14"/>
      <c r="I14" s="14"/>
      <c r="J14" s="14"/>
      <c r="O14" s="10"/>
    </row>
    <row r="15" spans="1:15" ht="12.75" customHeight="1">
      <c r="A15" s="13"/>
      <c r="B15" s="11"/>
      <c r="C15" s="26"/>
      <c r="D15" s="26"/>
      <c r="E15" s="30"/>
      <c r="F15" s="30"/>
      <c r="G15" s="14"/>
      <c r="H15" s="14"/>
      <c r="I15" s="14"/>
      <c r="J15" s="14"/>
      <c r="O15" s="10"/>
    </row>
    <row r="16" spans="1:15" ht="12.75" customHeight="1">
      <c r="A16" s="13"/>
      <c r="B16" s="11" t="s">
        <v>1098</v>
      </c>
      <c r="C16" s="26"/>
      <c r="D16" s="29"/>
      <c r="E16" s="1119">
        <v>0.06</v>
      </c>
      <c r="F16" s="30"/>
      <c r="G16" s="14"/>
      <c r="H16" s="14"/>
      <c r="I16" s="14"/>
      <c r="J16" s="14"/>
      <c r="O16" s="10"/>
    </row>
    <row r="17" spans="1:15" ht="12.75" customHeight="1">
      <c r="A17" s="13"/>
      <c r="B17" s="11" t="s">
        <v>875</v>
      </c>
      <c r="C17" s="26"/>
      <c r="D17" s="26"/>
      <c r="E17" s="1120">
        <v>0</v>
      </c>
      <c r="F17" s="30"/>
      <c r="G17" s="14"/>
      <c r="H17" s="14"/>
      <c r="I17" s="14"/>
      <c r="J17" s="14"/>
      <c r="O17" s="10"/>
    </row>
    <row r="18" spans="1:15" ht="12.75" customHeight="1">
      <c r="A18" s="13"/>
      <c r="B18" s="11" t="s">
        <v>448</v>
      </c>
      <c r="C18" s="26"/>
      <c r="D18" s="26"/>
      <c r="E18" s="30"/>
      <c r="F18" s="30">
        <f>ROUND(E16*E17,4)</f>
        <v>0</v>
      </c>
      <c r="G18" s="14"/>
      <c r="H18" s="14"/>
      <c r="I18" s="14"/>
      <c r="J18" s="14"/>
      <c r="O18" s="10"/>
    </row>
    <row r="19" spans="1:15" ht="12.75" customHeight="1">
      <c r="A19" s="13"/>
      <c r="B19" s="11"/>
      <c r="C19" s="26"/>
      <c r="D19" s="26"/>
      <c r="E19" s="30"/>
      <c r="F19" s="30"/>
      <c r="G19" s="14"/>
      <c r="H19" s="14"/>
      <c r="I19" s="14"/>
      <c r="J19" s="14"/>
      <c r="O19" s="10"/>
    </row>
    <row r="20" spans="1:15" ht="12.75" customHeight="1">
      <c r="A20" s="13"/>
      <c r="B20" s="11" t="s">
        <v>1099</v>
      </c>
      <c r="C20" s="26"/>
      <c r="D20" s="26"/>
      <c r="E20" s="1119">
        <v>0.05</v>
      </c>
      <c r="F20" s="30"/>
      <c r="G20" s="14"/>
      <c r="H20" s="14"/>
      <c r="I20" s="14"/>
      <c r="J20" s="14"/>
      <c r="O20" s="10"/>
    </row>
    <row r="21" spans="1:15" ht="12.75" customHeight="1">
      <c r="A21" s="13"/>
      <c r="B21" s="11" t="s">
        <v>875</v>
      </c>
      <c r="C21" s="26"/>
      <c r="D21" s="26"/>
      <c r="E21" s="1120">
        <v>2.0000000000000001E-4</v>
      </c>
      <c r="F21" s="30"/>
      <c r="G21" s="14"/>
      <c r="H21" s="14"/>
      <c r="I21" s="14"/>
      <c r="J21" s="14"/>
      <c r="O21" s="10"/>
    </row>
    <row r="22" spans="1:15" ht="12.75" customHeight="1">
      <c r="A22" s="13"/>
      <c r="B22" s="11" t="s">
        <v>448</v>
      </c>
      <c r="C22" s="26"/>
      <c r="D22" s="26"/>
      <c r="E22" s="30"/>
      <c r="F22" s="30">
        <f>ROUND(E20*E21,4)</f>
        <v>0</v>
      </c>
      <c r="G22" s="14"/>
      <c r="H22" s="14"/>
      <c r="I22" s="14"/>
      <c r="J22" s="14"/>
      <c r="O22" s="10"/>
    </row>
    <row r="23" spans="1:15" ht="12.75" customHeight="1">
      <c r="A23" s="13"/>
      <c r="B23" s="11"/>
      <c r="C23" s="26"/>
      <c r="D23" s="26"/>
      <c r="E23" s="30"/>
      <c r="F23" s="30"/>
      <c r="G23" s="14"/>
      <c r="H23" s="14"/>
      <c r="I23" s="14"/>
      <c r="J23" s="14"/>
      <c r="O23" s="10"/>
    </row>
    <row r="24" spans="1:15" ht="12.75" customHeight="1">
      <c r="A24" s="13"/>
      <c r="B24" s="11" t="s">
        <v>876</v>
      </c>
      <c r="C24" s="26"/>
      <c r="D24" s="29"/>
      <c r="E24" s="1119">
        <v>0</v>
      </c>
      <c r="F24" s="30"/>
      <c r="G24" s="14"/>
      <c r="H24" s="14"/>
      <c r="I24" s="14"/>
      <c r="J24" s="14"/>
      <c r="O24" s="10"/>
    </row>
    <row r="25" spans="1:15" ht="12.75" customHeight="1">
      <c r="A25" s="13"/>
      <c r="B25" s="11" t="s">
        <v>875</v>
      </c>
      <c r="C25" s="26"/>
      <c r="D25" s="26"/>
      <c r="E25" s="1120">
        <v>0</v>
      </c>
      <c r="F25" s="30"/>
      <c r="G25" s="14"/>
      <c r="H25" s="14"/>
      <c r="I25" s="14"/>
      <c r="J25" s="14"/>
      <c r="O25" s="10"/>
    </row>
    <row r="26" spans="1:15" ht="12.75" customHeight="1">
      <c r="A26" s="13"/>
      <c r="B26" s="11" t="s">
        <v>448</v>
      </c>
      <c r="C26" s="26"/>
      <c r="D26" s="26"/>
      <c r="E26" s="30"/>
      <c r="F26" s="30">
        <f>ROUND(E24*E25,4)</f>
        <v>0</v>
      </c>
      <c r="G26" s="14"/>
      <c r="H26" s="14"/>
      <c r="I26" s="14"/>
      <c r="J26" s="14"/>
      <c r="O26" s="10"/>
    </row>
    <row r="27" spans="1:15" ht="12.75" customHeight="1">
      <c r="A27" s="13"/>
      <c r="B27" s="11"/>
      <c r="C27" s="26"/>
      <c r="D27" s="26"/>
      <c r="E27" s="30"/>
      <c r="F27" s="30"/>
      <c r="G27" s="14"/>
      <c r="H27" s="14"/>
      <c r="I27" s="14"/>
      <c r="J27" s="14"/>
      <c r="O27" s="10"/>
    </row>
    <row r="28" spans="1:15" ht="12.75" customHeight="1">
      <c r="A28" s="13"/>
      <c r="B28" s="11" t="s">
        <v>877</v>
      </c>
      <c r="C28" s="26"/>
      <c r="D28" s="29"/>
      <c r="E28" s="1119">
        <v>0</v>
      </c>
      <c r="F28" s="30"/>
      <c r="G28" s="14"/>
      <c r="H28" s="14"/>
      <c r="I28" s="14"/>
      <c r="J28" s="14"/>
      <c r="O28" s="10"/>
    </row>
    <row r="29" spans="1:15" ht="12.75" customHeight="1">
      <c r="A29" s="13"/>
      <c r="B29" s="11" t="s">
        <v>878</v>
      </c>
      <c r="C29" s="26"/>
      <c r="D29" s="29"/>
      <c r="E29" s="1119">
        <v>0</v>
      </c>
      <c r="F29" s="30"/>
      <c r="G29" s="14"/>
      <c r="H29" s="14"/>
      <c r="I29" s="14"/>
      <c r="J29" s="14"/>
      <c r="O29" s="10"/>
    </row>
    <row r="30" spans="1:15" ht="12.75" customHeight="1">
      <c r="A30" s="13"/>
      <c r="B30" s="11" t="s">
        <v>875</v>
      </c>
      <c r="C30" s="26"/>
      <c r="D30" s="26"/>
      <c r="E30" s="1120">
        <v>0</v>
      </c>
      <c r="F30" s="30"/>
      <c r="G30" s="14"/>
      <c r="H30" s="14"/>
      <c r="I30" s="14"/>
      <c r="J30" s="14"/>
      <c r="O30" s="10"/>
    </row>
    <row r="31" spans="1:15" ht="12.75" customHeight="1">
      <c r="A31" s="13"/>
      <c r="B31" s="11" t="s">
        <v>448</v>
      </c>
      <c r="C31" s="26"/>
      <c r="D31" s="26"/>
      <c r="E31" s="11"/>
      <c r="F31" s="905">
        <f>ROUND(+E28*E29*E30,4)</f>
        <v>0</v>
      </c>
      <c r="G31" s="14"/>
      <c r="H31" s="14"/>
      <c r="I31" s="14"/>
      <c r="J31" s="14"/>
      <c r="O31" s="10"/>
    </row>
    <row r="32" spans="1:15" ht="12.75" customHeight="1">
      <c r="A32" s="13"/>
      <c r="B32" s="11"/>
      <c r="C32" s="26"/>
      <c r="D32" s="26"/>
      <c r="E32" s="26"/>
      <c r="F32" s="30"/>
      <c r="G32" s="14"/>
      <c r="H32" s="14"/>
      <c r="I32" s="14"/>
      <c r="J32" s="14"/>
      <c r="O32" s="10"/>
    </row>
    <row r="33" spans="1:15" ht="22.15" customHeight="1" thickBot="1">
      <c r="A33" s="13"/>
      <c r="B33" s="11" t="s">
        <v>203</v>
      </c>
      <c r="C33" s="11"/>
      <c r="D33" s="11"/>
      <c r="E33" s="11"/>
      <c r="F33" s="960">
        <f>SUM(F10:F31)</f>
        <v>6.4700000000000008E-2</v>
      </c>
      <c r="G33" s="14"/>
      <c r="H33" s="14"/>
      <c r="I33" s="14"/>
      <c r="J33" s="14"/>
      <c r="O33" s="10"/>
    </row>
    <row r="34" spans="1:15" ht="12.75" customHeight="1" thickTop="1">
      <c r="A34" s="13"/>
      <c r="B34" s="14"/>
      <c r="C34" s="14"/>
      <c r="D34" s="14"/>
      <c r="E34" s="14"/>
      <c r="F34" s="14"/>
      <c r="G34" s="14"/>
      <c r="H34" s="14"/>
      <c r="I34" s="14"/>
      <c r="J34" s="14"/>
      <c r="O34" s="10"/>
    </row>
    <row r="35" spans="1:15" ht="12.75" customHeight="1">
      <c r="B35" s="1284"/>
      <c r="C35" s="1284"/>
      <c r="D35" s="1284"/>
      <c r="E35" s="1284"/>
      <c r="F35" s="1284"/>
      <c r="G35" s="1284"/>
    </row>
    <row r="36" spans="1:15" ht="17.25" customHeight="1">
      <c r="B36" s="1284"/>
      <c r="C36" s="1284"/>
      <c r="D36" s="1284"/>
      <c r="E36" s="1284"/>
      <c r="F36" s="1284"/>
      <c r="G36" s="1284"/>
    </row>
    <row r="37" spans="1:15" ht="18" customHeight="1">
      <c r="A37" s="3" t="s">
        <v>499</v>
      </c>
      <c r="B37" s="3" t="s">
        <v>75</v>
      </c>
      <c r="C37" s="3"/>
      <c r="D37" s="3"/>
      <c r="E37" s="3"/>
      <c r="F37" s="3"/>
      <c r="G37" s="3"/>
    </row>
  </sheetData>
  <mergeCells count="5">
    <mergeCell ref="B35:G36"/>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C58"/>
  <sheetViews>
    <sheetView view="pageBreakPreview" topLeftCell="A28" zoomScale="60" zoomScaleNormal="55" workbookViewId="0">
      <selection activeCell="M56" sqref="M56"/>
    </sheetView>
  </sheetViews>
  <sheetFormatPr defaultRowHeight="15"/>
  <cols>
    <col min="1" max="1" width="7.28515625" style="95" customWidth="1"/>
    <col min="2" max="2" width="1.7109375" style="84" customWidth="1"/>
    <col min="3" max="3" width="62.42578125" style="84" customWidth="1"/>
    <col min="4" max="4" width="19.140625" style="84" customWidth="1"/>
    <col min="5" max="5" width="22.7109375" style="91" bestFit="1" customWidth="1"/>
    <col min="6" max="6" width="1.7109375" style="84" customWidth="1"/>
    <col min="7" max="7" width="27" style="84" customWidth="1"/>
    <col min="8" max="8" width="1.7109375" style="84" customWidth="1"/>
    <col min="9" max="9" width="21.42578125" style="84" customWidth="1"/>
    <col min="10" max="10" width="1.7109375" style="84" customWidth="1"/>
    <col min="11" max="11" width="19.42578125" style="84" bestFit="1" customWidth="1"/>
    <col min="12" max="12" width="3.42578125" style="84" customWidth="1"/>
    <col min="13" max="13" width="22.5703125" style="84" customWidth="1"/>
    <col min="14" max="14" width="1.28515625" style="84" customWidth="1"/>
    <col min="15" max="15" width="22.140625" style="170" customWidth="1"/>
    <col min="16" max="16384" width="9.140625" style="84"/>
  </cols>
  <sheetData>
    <row r="1" spans="1:29" ht="15.75">
      <c r="A1" s="645" t="s">
        <v>114</v>
      </c>
    </row>
    <row r="2" spans="1:29" ht="15.75">
      <c r="A2" s="645" t="s">
        <v>114</v>
      </c>
    </row>
    <row r="3" spans="1:29" ht="18.75" customHeight="1">
      <c r="A3" s="1251" t="s">
        <v>387</v>
      </c>
      <c r="B3" s="1251"/>
      <c r="C3" s="1251"/>
      <c r="D3" s="1251"/>
      <c r="E3" s="1251"/>
      <c r="F3" s="1251"/>
      <c r="G3" s="1251"/>
      <c r="H3" s="1251"/>
      <c r="I3" s="1251"/>
      <c r="J3" s="1251"/>
      <c r="K3" s="1251"/>
      <c r="L3" s="1251"/>
      <c r="M3" s="1251"/>
    </row>
    <row r="4" spans="1:29" ht="18.75" customHeight="1">
      <c r="A4" s="1252" t="str">
        <f>"Cost of Service Formula Rate Using Actual/Projected FF1 Balances"</f>
        <v>Cost of Service Formula Rate Using Actual/Projected FF1 Balances</v>
      </c>
      <c r="B4" s="1252"/>
      <c r="C4" s="1252"/>
      <c r="D4" s="1252"/>
      <c r="E4" s="1252"/>
      <c r="F4" s="1252"/>
      <c r="G4" s="1252"/>
      <c r="H4" s="1252"/>
      <c r="I4" s="1252"/>
      <c r="J4" s="1252"/>
      <c r="K4" s="1252"/>
      <c r="L4" s="1252"/>
      <c r="M4" s="1252"/>
    </row>
    <row r="5" spans="1:29" ht="18.75" customHeight="1">
      <c r="A5" s="1252" t="s">
        <v>238</v>
      </c>
      <c r="B5" s="1252"/>
      <c r="C5" s="1252"/>
      <c r="D5" s="1252"/>
      <c r="E5" s="1252"/>
      <c r="F5" s="1252"/>
      <c r="G5" s="1252"/>
      <c r="H5" s="1252"/>
      <c r="I5" s="1252"/>
      <c r="J5" s="1252"/>
      <c r="K5" s="1252"/>
      <c r="L5" s="1252"/>
      <c r="M5" s="1252"/>
    </row>
    <row r="6" spans="1:29" ht="18.75" customHeight="1">
      <c r="A6" s="1253" t="str">
        <f>+TCOS!F9</f>
        <v>WHEELING POWER COMPANY</v>
      </c>
      <c r="B6" s="1253"/>
      <c r="C6" s="1253"/>
      <c r="D6" s="1253"/>
      <c r="E6" s="1253"/>
      <c r="F6" s="1253"/>
      <c r="G6" s="1253"/>
      <c r="H6" s="1253"/>
      <c r="I6" s="1253"/>
      <c r="J6" s="1253"/>
      <c r="K6" s="1253"/>
      <c r="L6" s="1253"/>
      <c r="M6" s="1253"/>
    </row>
    <row r="7" spans="1:29" ht="18" customHeight="1">
      <c r="A7" s="1260"/>
      <c r="B7" s="1260"/>
      <c r="C7" s="1260"/>
      <c r="D7" s="1260"/>
      <c r="E7" s="1260"/>
      <c r="F7" s="1260"/>
      <c r="G7" s="1260"/>
      <c r="H7" s="1260"/>
      <c r="I7" s="1260"/>
      <c r="J7" s="1260"/>
      <c r="K7" s="1260"/>
      <c r="L7" s="1260"/>
      <c r="M7" s="1260"/>
    </row>
    <row r="8" spans="1:29" ht="18" customHeight="1">
      <c r="A8" s="1282"/>
      <c r="B8" s="1282"/>
      <c r="C8" s="1282"/>
      <c r="D8" s="1282"/>
      <c r="E8" s="1282"/>
      <c r="F8" s="1282"/>
      <c r="G8" s="1282"/>
      <c r="H8" s="1282"/>
      <c r="I8" s="1282"/>
      <c r="J8" s="1282"/>
      <c r="K8" s="1282"/>
      <c r="L8" s="1282"/>
      <c r="M8" s="1282"/>
    </row>
    <row r="9" spans="1:29" ht="18" customHeight="1">
      <c r="A9" s="128"/>
      <c r="B9" s="128"/>
      <c r="C9" s="128"/>
      <c r="D9" s="128"/>
      <c r="E9" s="128"/>
      <c r="F9" s="128"/>
      <c r="G9" s="128"/>
      <c r="H9" s="128"/>
      <c r="I9" s="128"/>
      <c r="J9" s="128"/>
      <c r="K9" s="128"/>
      <c r="L9" s="128"/>
      <c r="M9" s="128"/>
    </row>
    <row r="10" spans="1:29" ht="19.5" customHeight="1">
      <c r="A10" s="86"/>
      <c r="B10" s="85"/>
      <c r="C10" s="25" t="s">
        <v>162</v>
      </c>
      <c r="E10" s="25" t="s">
        <v>163</v>
      </c>
      <c r="G10" s="25" t="s">
        <v>164</v>
      </c>
      <c r="I10" s="25" t="s">
        <v>165</v>
      </c>
      <c r="K10" s="25" t="s">
        <v>84</v>
      </c>
      <c r="M10" s="25" t="s">
        <v>85</v>
      </c>
    </row>
    <row r="11" spans="1:29" ht="18">
      <c r="A11" s="155"/>
      <c r="B11" s="156"/>
      <c r="C11" s="156"/>
      <c r="D11" s="156"/>
      <c r="E11"/>
      <c r="F11"/>
      <c r="G11"/>
      <c r="H11"/>
      <c r="I11"/>
      <c r="J11"/>
      <c r="K11"/>
      <c r="L11"/>
      <c r="M11"/>
      <c r="Q11" s="28"/>
      <c r="R11" s="28"/>
      <c r="S11" s="28"/>
      <c r="T11" s="28"/>
      <c r="U11" s="28"/>
      <c r="V11" s="28"/>
      <c r="W11" s="28"/>
      <c r="X11" s="28"/>
      <c r="Y11" s="28"/>
      <c r="Z11" s="28"/>
      <c r="AA11" s="28"/>
      <c r="AB11" s="28"/>
      <c r="AC11" s="28"/>
    </row>
    <row r="12" spans="1:29" ht="19.5">
      <c r="A12" s="155" t="s">
        <v>169</v>
      </c>
      <c r="B12" s="156"/>
      <c r="C12" s="156"/>
      <c r="D12" s="156"/>
      <c r="E12" s="157" t="s">
        <v>118</v>
      </c>
      <c r="F12" s="155"/>
      <c r="G12" s="155"/>
      <c r="H12" s="155"/>
      <c r="I12" s="155"/>
      <c r="J12" s="155"/>
      <c r="K12" s="90"/>
      <c r="L12" s="90"/>
      <c r="M12" s="158"/>
    </row>
    <row r="13" spans="1:29" ht="19.5">
      <c r="A13" s="159" t="s">
        <v>117</v>
      </c>
      <c r="B13" s="156"/>
      <c r="C13" s="159" t="s">
        <v>306</v>
      </c>
      <c r="D13" s="156"/>
      <c r="E13" s="160" t="s">
        <v>183</v>
      </c>
      <c r="F13" s="155"/>
      <c r="G13" s="159" t="s">
        <v>309</v>
      </c>
      <c r="H13" s="155"/>
      <c r="I13" s="159" t="s">
        <v>161</v>
      </c>
      <c r="J13" s="155"/>
      <c r="K13" s="161" t="s">
        <v>181</v>
      </c>
      <c r="L13" s="162"/>
      <c r="M13" s="161" t="s">
        <v>310</v>
      </c>
    </row>
    <row r="14" spans="1:29" ht="19.5">
      <c r="A14" s="86"/>
      <c r="B14" s="85"/>
      <c r="C14" s="83"/>
      <c r="D14" s="83"/>
      <c r="E14" s="83" t="s">
        <v>68</v>
      </c>
      <c r="F14" s="83"/>
      <c r="G14" s="83"/>
      <c r="H14" s="83"/>
      <c r="I14" s="83"/>
      <c r="J14" s="83"/>
      <c r="K14" s="82"/>
      <c r="L14" s="82"/>
    </row>
    <row r="15" spans="1:29" ht="19.5">
      <c r="A15" s="86"/>
      <c r="B15" s="85"/>
      <c r="C15" s="85"/>
      <c r="D15" s="85"/>
      <c r="E15" s="87"/>
      <c r="F15" s="85"/>
      <c r="G15" s="85"/>
      <c r="H15" s="85"/>
      <c r="I15" s="81"/>
      <c r="J15" s="85"/>
      <c r="K15" s="82"/>
      <c r="L15" s="82"/>
    </row>
    <row r="16" spans="1:29" ht="19.5">
      <c r="A16" s="86">
        <v>1</v>
      </c>
      <c r="B16" s="85"/>
      <c r="C16" s="88" t="s">
        <v>323</v>
      </c>
      <c r="D16" s="85"/>
      <c r="E16" s="82"/>
      <c r="F16" s="82"/>
      <c r="G16" s="89"/>
      <c r="H16" s="89"/>
      <c r="I16" s="89"/>
      <c r="J16" s="89"/>
      <c r="K16" s="89"/>
      <c r="L16" s="89"/>
      <c r="M16" s="89"/>
    </row>
    <row r="17" spans="1:15" ht="19.5">
      <c r="A17" s="86">
        <f>+A16+1</f>
        <v>2</v>
      </c>
      <c r="B17" s="85"/>
      <c r="C17" s="82" t="s">
        <v>307</v>
      </c>
      <c r="D17" s="85"/>
      <c r="E17" s="89">
        <f>'WS H-1-Detail of Tax Amts'!E15</f>
        <v>5040</v>
      </c>
      <c r="F17" s="82"/>
      <c r="G17" s="89"/>
      <c r="H17" s="89"/>
      <c r="I17" s="89"/>
      <c r="J17" s="89"/>
      <c r="K17" s="89"/>
      <c r="L17" s="89"/>
      <c r="M17" s="89">
        <f>+E17</f>
        <v>5040</v>
      </c>
    </row>
    <row r="18" spans="1:15" ht="19.5">
      <c r="A18" s="86"/>
      <c r="B18" s="85"/>
      <c r="C18" s="90"/>
      <c r="D18" s="85"/>
      <c r="E18" s="82"/>
      <c r="F18" s="82"/>
      <c r="G18" s="89"/>
      <c r="H18" s="89"/>
      <c r="I18" s="89"/>
      <c r="J18" s="89"/>
      <c r="K18" s="89"/>
      <c r="L18" s="89"/>
      <c r="M18" s="89"/>
    </row>
    <row r="19" spans="1:15" ht="18">
      <c r="A19" s="791">
        <f>+A17+1</f>
        <v>3</v>
      </c>
      <c r="B19" s="792"/>
      <c r="C19" s="793" t="s">
        <v>324</v>
      </c>
      <c r="D19" s="792"/>
      <c r="E19" s="792"/>
      <c r="F19" s="792"/>
      <c r="G19" s="794"/>
      <c r="H19" s="790"/>
      <c r="I19" s="790"/>
      <c r="J19" s="790"/>
      <c r="K19" s="790"/>
      <c r="L19" s="790"/>
      <c r="M19" s="790"/>
    </row>
    <row r="20" spans="1:15" ht="18">
      <c r="A20" s="791">
        <f>+A19+1</f>
        <v>4</v>
      </c>
      <c r="B20" s="792"/>
      <c r="C20" s="792" t="s">
        <v>596</v>
      </c>
      <c r="D20" s="792"/>
      <c r="E20" s="794">
        <f>'WS H-1-Detail of Tax Amts'!E27</f>
        <v>8129559.9999999981</v>
      </c>
      <c r="F20" s="792"/>
      <c r="G20" s="794">
        <f>+E20</f>
        <v>8129559.9999999981</v>
      </c>
      <c r="H20" s="790"/>
      <c r="I20" s="790"/>
      <c r="J20" s="790"/>
      <c r="K20" s="790"/>
      <c r="L20" s="790"/>
      <c r="M20" s="790"/>
      <c r="O20"/>
    </row>
    <row r="21" spans="1:15" ht="18">
      <c r="A21" s="791">
        <f>A20+1</f>
        <v>5</v>
      </c>
      <c r="B21" s="792"/>
      <c r="C21" s="792" t="s">
        <v>463</v>
      </c>
      <c r="D21" s="794"/>
      <c r="E21" s="794">
        <f>'WS H-1-Detail of Tax Amts'!E50</f>
        <v>0</v>
      </c>
      <c r="F21" s="792"/>
      <c r="G21" s="794">
        <f>E21</f>
        <v>0</v>
      </c>
      <c r="H21" s="790"/>
      <c r="I21" s="790"/>
      <c r="J21" s="790"/>
      <c r="K21" s="790"/>
      <c r="L21" s="790"/>
      <c r="M21" s="790"/>
      <c r="O21"/>
    </row>
    <row r="22" spans="1:15" ht="19.5">
      <c r="A22" s="86"/>
      <c r="B22" s="85"/>
      <c r="C22" s="90"/>
      <c r="D22" s="85"/>
      <c r="E22" s="82"/>
      <c r="F22" s="82"/>
      <c r="G22" s="89"/>
      <c r="H22" s="89"/>
      <c r="I22" s="89"/>
      <c r="J22" s="89"/>
      <c r="K22" s="89"/>
      <c r="L22" s="89"/>
      <c r="M22" s="89"/>
      <c r="O22" s="171"/>
    </row>
    <row r="23" spans="1:15" ht="19.5">
      <c r="A23" s="86">
        <f>+A21+1</f>
        <v>6</v>
      </c>
      <c r="B23" s="85"/>
      <c r="C23" s="88" t="s">
        <v>325</v>
      </c>
      <c r="D23" s="85"/>
      <c r="E23" s="82"/>
      <c r="F23" s="82"/>
      <c r="G23" s="89"/>
      <c r="H23" s="89"/>
      <c r="I23" s="89"/>
      <c r="J23" s="89"/>
      <c r="K23" s="89"/>
      <c r="L23" s="89"/>
      <c r="M23" s="89"/>
      <c r="O23" s="171"/>
    </row>
    <row r="24" spans="1:15" ht="19.5">
      <c r="A24" s="86">
        <f>+A23+1</f>
        <v>7</v>
      </c>
      <c r="B24" s="85"/>
      <c r="C24" s="85" t="s">
        <v>321</v>
      </c>
      <c r="D24" s="85"/>
      <c r="E24" s="89">
        <f>'WS H-1-Detail of Tax Amts'!E61</f>
        <v>1415814.3942681958</v>
      </c>
      <c r="F24" s="82"/>
      <c r="G24" s="89"/>
      <c r="H24" s="89"/>
      <c r="I24" s="89">
        <f>+E24</f>
        <v>1415814.3942681958</v>
      </c>
      <c r="J24" s="89"/>
      <c r="K24" s="89"/>
      <c r="L24" s="89"/>
      <c r="M24" s="89"/>
      <c r="O24" s="171"/>
    </row>
    <row r="25" spans="1:15" ht="19.5">
      <c r="A25" s="86">
        <f>+A24+1</f>
        <v>8</v>
      </c>
      <c r="B25" s="85"/>
      <c r="C25" s="85" t="s">
        <v>314</v>
      </c>
      <c r="D25" s="85"/>
      <c r="E25" s="89">
        <f>'WS H-1-Detail of Tax Amts'!E63</f>
        <v>5460</v>
      </c>
      <c r="F25" s="82"/>
      <c r="G25" s="82"/>
      <c r="H25" s="82"/>
      <c r="I25" s="89">
        <f>+E25</f>
        <v>5460</v>
      </c>
      <c r="J25" s="85"/>
      <c r="K25" s="82"/>
      <c r="L25" s="82"/>
      <c r="M25" s="89"/>
    </row>
    <row r="26" spans="1:15" ht="19.5">
      <c r="A26" s="86">
        <f>+A25+1</f>
        <v>9</v>
      </c>
      <c r="B26" s="85"/>
      <c r="C26" s="85" t="s">
        <v>315</v>
      </c>
      <c r="D26" s="85"/>
      <c r="E26" s="89">
        <f>'WS H-1-Detail of Tax Amts'!E65</f>
        <v>10532.332440883369</v>
      </c>
      <c r="F26" s="82"/>
      <c r="G26" s="82"/>
      <c r="H26" s="82"/>
      <c r="I26" s="89">
        <f>+E26</f>
        <v>10532.332440883369</v>
      </c>
      <c r="J26" s="87"/>
      <c r="K26" s="82"/>
      <c r="L26" s="82"/>
      <c r="M26" s="89"/>
    </row>
    <row r="27" spans="1:15" ht="19.5">
      <c r="A27" s="86" t="s">
        <v>114</v>
      </c>
      <c r="B27" s="85"/>
      <c r="C27" s="82"/>
      <c r="D27" s="85"/>
      <c r="E27" s="82"/>
      <c r="F27" s="82"/>
      <c r="G27" s="82"/>
      <c r="H27" s="82"/>
      <c r="I27" s="97"/>
      <c r="J27" s="98"/>
      <c r="K27" s="101"/>
      <c r="L27" s="101"/>
      <c r="M27" s="89"/>
    </row>
    <row r="28" spans="1:15" ht="19.5">
      <c r="A28" s="86">
        <f>A26+1</f>
        <v>10</v>
      </c>
      <c r="B28" s="85"/>
      <c r="C28" s="88" t="s">
        <v>440</v>
      </c>
      <c r="D28" s="85"/>
      <c r="E28" s="82"/>
      <c r="F28" s="82"/>
      <c r="G28" s="82"/>
      <c r="H28" s="82"/>
      <c r="I28" s="97"/>
      <c r="J28" s="98"/>
      <c r="K28" s="101"/>
      <c r="L28" s="101"/>
      <c r="M28" s="89"/>
    </row>
    <row r="29" spans="1:15" ht="19.5">
      <c r="A29" s="86">
        <f>A28+1</f>
        <v>11</v>
      </c>
      <c r="B29" s="85"/>
      <c r="C29" s="82" t="s">
        <v>441</v>
      </c>
      <c r="D29" s="173"/>
      <c r="E29" s="89">
        <f>'WS H-1-Detail of Tax Amts'!E71</f>
        <v>0</v>
      </c>
      <c r="F29" s="82"/>
      <c r="G29" s="82"/>
      <c r="H29" s="82"/>
      <c r="I29" s="97"/>
      <c r="J29" s="98"/>
      <c r="K29" s="101"/>
      <c r="L29" s="101"/>
      <c r="M29" s="89">
        <f>E29</f>
        <v>0</v>
      </c>
    </row>
    <row r="30" spans="1:15" ht="19.5">
      <c r="A30" s="86"/>
      <c r="B30" s="85"/>
      <c r="C30" s="82"/>
      <c r="D30" s="85"/>
      <c r="E30" s="82"/>
      <c r="F30" s="82"/>
      <c r="G30" s="82"/>
      <c r="H30" s="82"/>
      <c r="I30" s="97"/>
      <c r="J30" s="98"/>
      <c r="K30" s="101"/>
      <c r="L30" s="101"/>
      <c r="M30" s="89"/>
    </row>
    <row r="31" spans="1:15" ht="19.5">
      <c r="A31" s="92">
        <f>+A29+1</f>
        <v>12</v>
      </c>
      <c r="B31" s="93"/>
      <c r="C31" s="88" t="s">
        <v>322</v>
      </c>
      <c r="D31" s="94"/>
      <c r="E31" s="82"/>
      <c r="F31" s="82"/>
      <c r="G31" s="89"/>
      <c r="H31" s="89"/>
      <c r="I31" s="89"/>
      <c r="J31" s="89"/>
      <c r="K31" s="89"/>
      <c r="L31" s="89"/>
      <c r="M31" s="89"/>
    </row>
    <row r="32" spans="1:15" ht="19.5">
      <c r="A32" s="92">
        <f>A31+1</f>
        <v>13</v>
      </c>
      <c r="B32" s="93"/>
      <c r="C32" s="82" t="s">
        <v>439</v>
      </c>
      <c r="D32" s="948"/>
      <c r="E32" s="89">
        <f>'WS H-1-Detail of Tax Amts'!E75</f>
        <v>2968000</v>
      </c>
      <c r="F32" s="82"/>
      <c r="G32" s="89"/>
      <c r="H32" s="89"/>
      <c r="I32" s="89"/>
      <c r="J32" s="89"/>
      <c r="K32" s="89"/>
      <c r="L32" s="89"/>
      <c r="M32" s="89">
        <f>E32</f>
        <v>2968000</v>
      </c>
    </row>
    <row r="33" spans="1:13" ht="19.5">
      <c r="A33" s="86">
        <f>A32+1</f>
        <v>14</v>
      </c>
      <c r="B33" s="85"/>
      <c r="C33" s="82" t="s">
        <v>316</v>
      </c>
      <c r="D33" s="85"/>
      <c r="E33" s="89">
        <f>'WS H-1-Detail of Tax Amts'!E79</f>
        <v>0</v>
      </c>
      <c r="F33" s="82"/>
      <c r="G33" s="89"/>
      <c r="H33" s="89"/>
      <c r="I33" s="89"/>
      <c r="J33" s="89"/>
      <c r="K33" s="89">
        <f>+E33</f>
        <v>0</v>
      </c>
      <c r="L33" s="89"/>
      <c r="M33" s="89"/>
    </row>
    <row r="34" spans="1:13" ht="19.5">
      <c r="A34" s="86">
        <f t="shared" ref="A34:A40" si="0">+A33+1</f>
        <v>15</v>
      </c>
      <c r="B34" s="85"/>
      <c r="C34" s="82" t="s">
        <v>317</v>
      </c>
      <c r="D34"/>
      <c r="E34" s="89">
        <f>'WS H-1-Detail of Tax Amts'!E83</f>
        <v>0</v>
      </c>
      <c r="F34" s="82"/>
      <c r="G34" s="89"/>
      <c r="H34" s="89"/>
      <c r="I34" s="89"/>
      <c r="J34" s="89"/>
      <c r="K34" s="89">
        <f>+E34</f>
        <v>0</v>
      </c>
      <c r="L34" s="89"/>
      <c r="M34" s="89"/>
    </row>
    <row r="35" spans="1:13" ht="19.5">
      <c r="A35" s="86">
        <f>+A34+1</f>
        <v>16</v>
      </c>
      <c r="B35" s="85"/>
      <c r="C35" s="82" t="s">
        <v>318</v>
      </c>
      <c r="D35"/>
      <c r="E35" s="89">
        <f>'WS H-1-Detail of Tax Amts'!E93</f>
        <v>0</v>
      </c>
      <c r="F35" s="82"/>
      <c r="G35" s="89"/>
      <c r="H35" s="89"/>
      <c r="I35" s="89"/>
      <c r="J35" s="89"/>
      <c r="K35" s="89">
        <f>+E35</f>
        <v>0</v>
      </c>
      <c r="L35" s="89"/>
      <c r="M35" s="89"/>
    </row>
    <row r="36" spans="1:13" ht="19.5">
      <c r="A36" s="86">
        <f t="shared" si="0"/>
        <v>17</v>
      </c>
      <c r="B36" s="85"/>
      <c r="C36" s="82" t="s">
        <v>319</v>
      </c>
      <c r="D36" s="85"/>
      <c r="E36" s="89">
        <f>'WS H-1-Detail of Tax Amts'!E100</f>
        <v>0</v>
      </c>
      <c r="F36" s="82"/>
      <c r="G36" s="89"/>
      <c r="H36" s="89"/>
      <c r="I36" s="89"/>
      <c r="J36" s="89"/>
      <c r="K36" s="89">
        <f>+E36</f>
        <v>0</v>
      </c>
      <c r="L36" s="89"/>
      <c r="M36" s="89"/>
    </row>
    <row r="37" spans="1:13" ht="19.5">
      <c r="A37" s="86">
        <f t="shared" si="0"/>
        <v>18</v>
      </c>
      <c r="B37" s="85"/>
      <c r="C37" s="82" t="s">
        <v>320</v>
      </c>
      <c r="D37" s="85"/>
      <c r="E37" s="89">
        <f>'WS H-1-Detail of Tax Amts'!E103</f>
        <v>600</v>
      </c>
      <c r="F37" s="82"/>
      <c r="G37" s="89"/>
      <c r="H37" s="89"/>
      <c r="I37" s="89"/>
      <c r="J37" s="89"/>
      <c r="K37" s="89"/>
      <c r="L37" s="89"/>
      <c r="M37" s="89">
        <f>+E37</f>
        <v>600</v>
      </c>
    </row>
    <row r="38" spans="1:13" ht="19.5">
      <c r="A38" s="86">
        <f t="shared" si="0"/>
        <v>19</v>
      </c>
      <c r="B38" s="82"/>
      <c r="C38" s="82" t="s">
        <v>308</v>
      </c>
      <c r="D38" s="82"/>
      <c r="E38" s="89">
        <f>'WS H-1-Detail of Tax Amts'!E107</f>
        <v>0</v>
      </c>
      <c r="F38" s="82"/>
      <c r="G38" s="89"/>
      <c r="H38" s="89"/>
      <c r="I38" s="89"/>
      <c r="J38" s="89"/>
      <c r="K38" s="89"/>
      <c r="L38" s="89"/>
      <c r="M38" s="89">
        <f>+E38</f>
        <v>0</v>
      </c>
    </row>
    <row r="39" spans="1:13" ht="19.5">
      <c r="A39" s="86">
        <f t="shared" si="0"/>
        <v>20</v>
      </c>
      <c r="B39" s="82"/>
      <c r="C39" s="104" t="s">
        <v>989</v>
      </c>
      <c r="D39" s="82"/>
      <c r="E39" s="89">
        <f>'WS H-1-Detail of Tax Amts'!E110</f>
        <v>9245000</v>
      </c>
      <c r="F39" s="82"/>
      <c r="G39" s="89"/>
      <c r="H39" s="89"/>
      <c r="I39" s="89"/>
      <c r="J39" s="89"/>
      <c r="K39" s="89"/>
      <c r="L39" s="89"/>
      <c r="M39" s="89">
        <f>+E39</f>
        <v>9245000</v>
      </c>
    </row>
    <row r="40" spans="1:13" ht="19.5">
      <c r="A40" s="86">
        <f t="shared" si="0"/>
        <v>21</v>
      </c>
      <c r="B40" s="82"/>
      <c r="C40" s="104"/>
      <c r="D40" s="82"/>
      <c r="E40" s="89"/>
      <c r="F40" s="82"/>
      <c r="G40" s="89"/>
      <c r="H40" s="89"/>
      <c r="I40" s="89"/>
      <c r="J40" s="89"/>
      <c r="K40" s="89"/>
      <c r="L40" s="89"/>
      <c r="M40" s="89"/>
    </row>
    <row r="41" spans="1:13" ht="20.25" thickBot="1">
      <c r="A41" s="86">
        <f>A40+1</f>
        <v>22</v>
      </c>
      <c r="B41" s="67"/>
      <c r="C41" s="82" t="s">
        <v>311</v>
      </c>
      <c r="D41"/>
      <c r="E41" s="103">
        <f>SUM(E17:E39)</f>
        <v>21780006.726709075</v>
      </c>
      <c r="F41" s="82"/>
      <c r="G41" s="103">
        <f>SUM(G17:G39)</f>
        <v>8129559.9999999981</v>
      </c>
      <c r="H41" s="96"/>
      <c r="I41" s="103">
        <f>SUM(I17:I39)</f>
        <v>1431806.7267090792</v>
      </c>
      <c r="J41" s="99"/>
      <c r="K41" s="103">
        <f>SUM(K17:K39)</f>
        <v>0</v>
      </c>
      <c r="L41" s="102"/>
      <c r="M41" s="103">
        <f>SUM(M17:M39)</f>
        <v>12218640</v>
      </c>
    </row>
    <row r="42" spans="1:13" ht="20.25" thickTop="1">
      <c r="A42" s="3"/>
      <c r="B42" s="67"/>
      <c r="C42" s="82" t="s">
        <v>381</v>
      </c>
      <c r="D42"/>
      <c r="E42"/>
      <c r="F42" s="82"/>
      <c r="G42" s="96"/>
      <c r="H42" s="96"/>
      <c r="I42" s="99"/>
      <c r="J42" s="100"/>
      <c r="K42" s="102"/>
      <c r="L42" s="102"/>
      <c r="M42" s="102"/>
    </row>
    <row r="43" spans="1:13" ht="19.5">
      <c r="A43" s="3"/>
      <c r="B43" s="67"/>
      <c r="C43" s="82" t="s">
        <v>79</v>
      </c>
      <c r="D43"/>
      <c r="E43"/>
      <c r="F43" s="82"/>
      <c r="G43" s="96"/>
      <c r="H43" s="96"/>
      <c r="I43" s="99"/>
      <c r="J43" s="100"/>
      <c r="K43" s="102"/>
      <c r="L43" s="102"/>
      <c r="M43" s="102"/>
    </row>
    <row r="44" spans="1:13" ht="19.5">
      <c r="A44" s="3"/>
      <c r="B44" s="67"/>
      <c r="C44" s="1285" t="s">
        <v>462</v>
      </c>
      <c r="D44" s="1285"/>
      <c r="E44" s="1285"/>
      <c r="F44" s="1285"/>
      <c r="G44" s="1285"/>
      <c r="H44" s="1285"/>
      <c r="I44" s="1285"/>
      <c r="J44" s="1285"/>
      <c r="K44" s="1285"/>
      <c r="L44" s="1285"/>
      <c r="M44" s="1285"/>
    </row>
    <row r="45" spans="1:13" ht="19.5">
      <c r="A45" s="86"/>
      <c r="C45" s="82"/>
      <c r="D45" s="82"/>
      <c r="E45" s="105" t="s">
        <v>229</v>
      </c>
      <c r="G45" s="105" t="s">
        <v>333</v>
      </c>
      <c r="H45" s="105"/>
      <c r="I45" s="105" t="s">
        <v>438</v>
      </c>
      <c r="J45" s="105"/>
      <c r="K45" s="105" t="s">
        <v>334</v>
      </c>
      <c r="L45" s="105"/>
      <c r="M45" s="105" t="s">
        <v>118</v>
      </c>
    </row>
    <row r="46" spans="1:13" ht="19.5">
      <c r="A46" s="86">
        <f>+A41+1</f>
        <v>23</v>
      </c>
      <c r="C46" s="194" t="str">
        <f>"Functionalized Net Plant (TCOS, Lns "&amp;TCOS!B94&amp;" thru "&amp;TCOS!B100&amp;")"</f>
        <v>Functionalized Net Plant (TCOS, Lns 41 thru 46)</v>
      </c>
      <c r="D46" s="82"/>
      <c r="E46" s="195">
        <f>TCOS!G94</f>
        <v>232738873.48663989</v>
      </c>
      <c r="F46" s="194"/>
      <c r="G46" s="195">
        <f>+TCOS!G95</f>
        <v>148246776.89631033</v>
      </c>
      <c r="H46" s="194"/>
      <c r="I46" s="195">
        <f>+TCOS!G96</f>
        <v>244435501.15160516</v>
      </c>
      <c r="J46" s="194"/>
      <c r="K46" s="195">
        <f>+TCOS!G97</f>
        <v>14293275.594416374</v>
      </c>
      <c r="L46" s="82"/>
      <c r="M46" s="126">
        <f>SUM(E46:K46)</f>
        <v>639714427.1289717</v>
      </c>
    </row>
    <row r="47" spans="1:13" ht="19.5">
      <c r="A47" s="86"/>
      <c r="C47" s="90" t="s">
        <v>879</v>
      </c>
      <c r="D47" s="82"/>
      <c r="E47" s="126" t="s">
        <v>114</v>
      </c>
      <c r="F47" s="82"/>
      <c r="G47" s="906"/>
      <c r="H47" s="82"/>
      <c r="I47" s="126"/>
      <c r="J47" s="82"/>
      <c r="K47" s="126"/>
      <c r="L47" s="82"/>
      <c r="M47" s="907"/>
    </row>
    <row r="48" spans="1:13" ht="19.5">
      <c r="A48" s="86">
        <f>+A46+1</f>
        <v>24</v>
      </c>
      <c r="C48" s="82" t="str">
        <f>"Percentage of Plant in "&amp;C47&amp;""</f>
        <v>Percentage of Plant in WEST VA JURISDICTION</v>
      </c>
      <c r="D48" s="82"/>
      <c r="E48" s="908">
        <v>1</v>
      </c>
      <c r="F48" s="909"/>
      <c r="G48" s="908">
        <v>1</v>
      </c>
      <c r="H48" s="909"/>
      <c r="I48" s="908">
        <v>0.99979064379859395</v>
      </c>
      <c r="J48" s="906"/>
      <c r="K48" s="908">
        <v>0.96784923793698197</v>
      </c>
      <c r="L48" s="82"/>
      <c r="M48" s="907"/>
    </row>
    <row r="49" spans="1:21" ht="19.5">
      <c r="A49" s="86">
        <f t="shared" ref="A49:A55" si="1">+A48+1</f>
        <v>25</v>
      </c>
      <c r="C49" s="194" t="str">
        <f>"Net Plant in "&amp;C47&amp;" (Ln "&amp;A46&amp;" * Ln "&amp;A48&amp;")"</f>
        <v>Net Plant in WEST VA JURISDICTION (Ln 23 * Ln 24)</v>
      </c>
      <c r="D49" s="82"/>
      <c r="E49" s="126">
        <f>+E46*E48</f>
        <v>232738873.48663989</v>
      </c>
      <c r="F49" s="82"/>
      <c r="G49" s="126">
        <f>+G46*G48</f>
        <v>148246776.89631033</v>
      </c>
      <c r="H49" s="82"/>
      <c r="I49" s="126">
        <f>+I46*I48</f>
        <v>244384327.06359527</v>
      </c>
      <c r="J49" s="82"/>
      <c r="K49" s="126">
        <f>+K46*K48</f>
        <v>13833735.891679151</v>
      </c>
      <c r="L49" s="82"/>
      <c r="M49" s="126">
        <f>SUM(E49:K49)</f>
        <v>639203713.33822465</v>
      </c>
      <c r="O49"/>
    </row>
    <row r="50" spans="1:21" ht="19.5">
      <c r="A50" s="86">
        <f t="shared" si="1"/>
        <v>26</v>
      </c>
      <c r="C50" s="194" t="s">
        <v>225</v>
      </c>
      <c r="D50" s="82"/>
      <c r="E50" s="1055">
        <v>500998056</v>
      </c>
      <c r="F50" s="82"/>
      <c r="G50" s="167"/>
      <c r="H50" s="82"/>
      <c r="I50" s="167"/>
      <c r="J50" s="82"/>
      <c r="K50" s="167"/>
      <c r="L50" s="82"/>
      <c r="M50" s="126"/>
      <c r="O50"/>
    </row>
    <row r="51" spans="1:21" ht="19.5">
      <c r="A51" s="86">
        <f t="shared" si="1"/>
        <v>27</v>
      </c>
      <c r="C51" s="82" t="str">
        <f>"Taxable Property Basis (Ln "&amp;A49&amp;" - Ln "&amp;A50&amp;")"</f>
        <v>Taxable Property Basis (Ln 25 - Ln 26)</v>
      </c>
      <c r="D51" s="82"/>
      <c r="E51" s="126">
        <f>+E49-E50</f>
        <v>-268259182.51336011</v>
      </c>
      <c r="F51" s="82"/>
      <c r="G51" s="126">
        <f>+G49-G50</f>
        <v>148246776.89631033</v>
      </c>
      <c r="H51" s="82"/>
      <c r="I51" s="126">
        <f>+I49-I50</f>
        <v>244384327.06359527</v>
      </c>
      <c r="J51" s="82"/>
      <c r="K51" s="126">
        <f>+K49-K50</f>
        <v>13833735.891679151</v>
      </c>
      <c r="L51" s="82"/>
      <c r="M51" s="126">
        <f>SUM(E51:K51)</f>
        <v>138205657.33822462</v>
      </c>
      <c r="O51"/>
    </row>
    <row r="52" spans="1:21" ht="19.5">
      <c r="A52" s="86">
        <f t="shared" si="1"/>
        <v>28</v>
      </c>
      <c r="C52" s="89" t="s">
        <v>461</v>
      </c>
      <c r="D52" s="82"/>
      <c r="E52" s="908">
        <v>1</v>
      </c>
      <c r="F52" s="909"/>
      <c r="G52" s="908">
        <v>1</v>
      </c>
      <c r="H52" s="909"/>
      <c r="I52" s="908">
        <v>1</v>
      </c>
      <c r="J52" s="906"/>
      <c r="K52" s="908">
        <v>1</v>
      </c>
      <c r="L52" s="82"/>
      <c r="M52" s="163">
        <f>SUM(E52:K52)</f>
        <v>4</v>
      </c>
      <c r="O52"/>
    </row>
    <row r="53" spans="1:21" ht="19.5">
      <c r="A53" s="86">
        <f t="shared" si="1"/>
        <v>29</v>
      </c>
      <c r="C53" s="194" t="str">
        <f>"Weighted Net Plant (Ln "&amp;A51&amp;" * Ln "&amp;A52&amp;")"</f>
        <v>Weighted Net Plant (Ln 27 * Ln 28)</v>
      </c>
      <c r="D53" s="82"/>
      <c r="E53" s="126">
        <f>+E51*E52</f>
        <v>-268259182.51336011</v>
      </c>
      <c r="F53" s="82"/>
      <c r="G53" s="126">
        <f>+G51*G52</f>
        <v>148246776.89631033</v>
      </c>
      <c r="H53" s="82"/>
      <c r="I53" s="126">
        <f>+I51*I52</f>
        <v>244384327.06359527</v>
      </c>
      <c r="J53" s="82"/>
      <c r="K53" s="126">
        <f>+K51*K52</f>
        <v>13833735.891679151</v>
      </c>
      <c r="L53" s="82"/>
      <c r="M53" s="126"/>
      <c r="O53"/>
      <c r="P53"/>
      <c r="Q53"/>
      <c r="R53"/>
      <c r="S53"/>
      <c r="T53"/>
      <c r="U53"/>
    </row>
    <row r="54" spans="1:21" ht="19.5">
      <c r="A54" s="86">
        <f t="shared" si="1"/>
        <v>30</v>
      </c>
      <c r="C54" s="82" t="str">
        <f>+"General Plant Allocator (Ln "&amp;A53&amp;" / (Total - General Plant))"</f>
        <v>General Plant Allocator (Ln 29 / (Total - General Plant))</v>
      </c>
      <c r="D54" s="82"/>
      <c r="E54" s="910">
        <f>IF(E52=0,0,+E53/($E53+$G53+$I53))</f>
        <v>-2.1569111371223508</v>
      </c>
      <c r="F54" s="82"/>
      <c r="G54" s="910">
        <f>IF(G52=0,0,+G53/($E53+$G53+$I53))</f>
        <v>1.1919633882960163</v>
      </c>
      <c r="H54" s="82"/>
      <c r="I54" s="910">
        <f>IF(I52=0,0,+I53/($E53+$G53+$I53))</f>
        <v>1.9649477488263345</v>
      </c>
      <c r="J54" s="82"/>
      <c r="K54" s="910">
        <v>-1</v>
      </c>
      <c r="L54" s="82"/>
      <c r="M54" s="82"/>
      <c r="O54"/>
      <c r="P54"/>
      <c r="Q54"/>
      <c r="R54"/>
      <c r="S54"/>
      <c r="T54"/>
      <c r="U54"/>
    </row>
    <row r="55" spans="1:21" ht="19.5">
      <c r="A55" s="86">
        <f t="shared" si="1"/>
        <v>31</v>
      </c>
      <c r="C55" s="82" t="str">
        <f>"Functionalized General Plant (Ln "&amp;A54&amp;" * General Plant)"</f>
        <v>Functionalized General Plant (Ln 30 * General Plant)</v>
      </c>
      <c r="D55" s="82"/>
      <c r="E55" s="911">
        <f>ROUND($K53*E54,0)</f>
        <v>-29838139</v>
      </c>
      <c r="F55" s="82"/>
      <c r="G55" s="911">
        <f>+G54*K53</f>
        <v>16489306.706238093</v>
      </c>
      <c r="H55" s="82"/>
      <c r="I55" s="911">
        <f>ROUND($K53*I54,0)</f>
        <v>27182568</v>
      </c>
      <c r="J55" s="82"/>
      <c r="K55" s="911">
        <f>ROUND($K53*K54,0)</f>
        <v>-13833736</v>
      </c>
      <c r="L55" s="82"/>
      <c r="M55" s="126">
        <f>IF(SUM(E55:K55)&lt;&gt;0,0,0)</f>
        <v>0</v>
      </c>
      <c r="O55"/>
      <c r="P55"/>
      <c r="Q55"/>
      <c r="R55"/>
      <c r="S55"/>
      <c r="T55"/>
      <c r="U55"/>
    </row>
    <row r="56" spans="1:21" ht="19.5">
      <c r="A56" s="86">
        <f>+A55+1</f>
        <v>32</v>
      </c>
      <c r="C56" s="82" t="str">
        <f>"Weighted "&amp;C47&amp;" Plant (Ln "&amp;A53&amp;" + "&amp;A55&amp;")"</f>
        <v>Weighted WEST VA JURISDICTION Plant (Ln 29 + 31)</v>
      </c>
      <c r="D56" s="82"/>
      <c r="E56" s="126">
        <f>+E53+E55</f>
        <v>-298097321.51336014</v>
      </c>
      <c r="F56" s="82"/>
      <c r="G56" s="126">
        <f>+G53+G55</f>
        <v>164736083.60254842</v>
      </c>
      <c r="H56" s="82"/>
      <c r="I56" s="126">
        <f>+I53+I55</f>
        <v>271566895.06359529</v>
      </c>
      <c r="J56" s="82"/>
      <c r="K56" s="126">
        <f>+K53+K55</f>
        <v>-0.10832084901630878</v>
      </c>
      <c r="L56" s="82"/>
      <c r="M56" s="126">
        <f>SUM(E56:K56)-SUM(E55:K55)</f>
        <v>138205657.33822462</v>
      </c>
      <c r="O56"/>
    </row>
    <row r="57" spans="1:21" ht="19.5">
      <c r="A57" s="86">
        <f>+A56+1</f>
        <v>33</v>
      </c>
      <c r="C57" s="82" t="str">
        <f>"Functional Percentage (Ln "&amp;A56&amp;"/Total Ln "&amp;A56&amp;")"</f>
        <v>Functional Percentage (Ln 32/Total Ln 32)</v>
      </c>
      <c r="D57" s="82"/>
      <c r="E57" s="906">
        <f>+E56/M56</f>
        <v>-2.1569111370299385</v>
      </c>
      <c r="F57" s="82"/>
      <c r="G57" s="912">
        <f>+G56/M56</f>
        <v>1.1919633882960163</v>
      </c>
      <c r="H57" s="82"/>
      <c r="I57" s="906">
        <f>+I56/M56</f>
        <v>1.9649477473921462</v>
      </c>
      <c r="J57" s="82"/>
      <c r="K57"/>
      <c r="L57" s="82"/>
      <c r="M57" s="126"/>
      <c r="O57"/>
    </row>
    <row r="58" spans="1:21" ht="19.5">
      <c r="A58" s="86"/>
      <c r="C58" s="82"/>
      <c r="D58" s="82"/>
      <c r="E58" s="166"/>
      <c r="F58" s="82"/>
      <c r="G58" s="166"/>
      <c r="H58" s="82"/>
      <c r="I58" s="166"/>
      <c r="J58" s="82"/>
      <c r="K58"/>
      <c r="L58" s="82"/>
      <c r="M58" s="126"/>
      <c r="O58"/>
    </row>
  </sheetData>
  <mergeCells count="7">
    <mergeCell ref="A8:M8"/>
    <mergeCell ref="A7:M7"/>
    <mergeCell ref="C44:M44"/>
    <mergeCell ref="A3:M3"/>
    <mergeCell ref="A4:M4"/>
    <mergeCell ref="A5:M5"/>
    <mergeCell ref="A6:M6"/>
  </mergeCells>
  <phoneticPr fontId="71" type="noConversion"/>
  <pageMargins left="0.59" right="0.84" top="1" bottom="1" header="0.75" footer="0.5"/>
  <pageSetup scale="43"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T124"/>
  <sheetViews>
    <sheetView view="pageBreakPreview" topLeftCell="A85" zoomScale="70" zoomScaleNormal="70" zoomScaleSheetLayoutView="70" workbookViewId="0">
      <selection activeCell="F112" sqref="F112"/>
    </sheetView>
  </sheetViews>
  <sheetFormatPr defaultRowHeight="12.75"/>
  <cols>
    <col min="1" max="1" width="7.28515625" style="95" customWidth="1"/>
    <col min="2" max="2" width="1.7109375" style="84" customWidth="1"/>
    <col min="3" max="3" width="68.5703125" style="84" customWidth="1"/>
    <col min="4" max="4" width="19.140625" style="84" customWidth="1"/>
    <col min="5" max="5" width="20.42578125" style="91" customWidth="1"/>
    <col min="6" max="6" width="20.42578125" style="84" bestFit="1" customWidth="1"/>
    <col min="7" max="7" width="40.28515625" style="84" bestFit="1" customWidth="1"/>
    <col min="8" max="8" width="13" style="84" bestFit="1" customWidth="1"/>
    <col min="9" max="9" width="34" style="84" customWidth="1"/>
    <col min="10" max="16384" width="9.140625" style="84"/>
  </cols>
  <sheetData>
    <row r="1" spans="1:20" ht="15.75">
      <c r="A1" s="645"/>
    </row>
    <row r="2" spans="1:20" ht="15.75">
      <c r="A2" s="645"/>
    </row>
    <row r="3" spans="1:20" ht="18.75" customHeight="1">
      <c r="A3" s="1251" t="s">
        <v>387</v>
      </c>
      <c r="B3" s="1251"/>
      <c r="C3" s="1251"/>
      <c r="D3" s="1251"/>
      <c r="E3" s="1251"/>
      <c r="F3" s="1251"/>
    </row>
    <row r="4" spans="1:20" ht="18.75" customHeight="1">
      <c r="A4" s="1252" t="str">
        <f>"Cost of Service Formula Rate Using Actual/Projected FF1 Balances"</f>
        <v>Cost of Service Formula Rate Using Actual/Projected FF1 Balances</v>
      </c>
      <c r="B4" s="1252"/>
      <c r="C4" s="1252"/>
      <c r="D4" s="1252"/>
      <c r="E4" s="1252"/>
      <c r="F4" s="1252"/>
    </row>
    <row r="5" spans="1:20" ht="18.75" customHeight="1">
      <c r="A5" s="1252" t="s">
        <v>217</v>
      </c>
      <c r="B5" s="1252"/>
      <c r="C5" s="1252"/>
      <c r="D5" s="1252"/>
      <c r="E5" s="1252"/>
      <c r="F5" s="1252"/>
    </row>
    <row r="6" spans="1:20" ht="18" customHeight="1">
      <c r="A6" s="1253" t="str">
        <f>TCOS!F9</f>
        <v>WHEELING POWER COMPANY</v>
      </c>
      <c r="B6" s="1252"/>
      <c r="C6" s="1252"/>
      <c r="D6" s="1252"/>
      <c r="E6" s="1252"/>
      <c r="F6" s="1252"/>
    </row>
    <row r="7" spans="1:20" ht="18" customHeight="1">
      <c r="A7" s="1260"/>
      <c r="B7" s="1260"/>
      <c r="C7" s="1260"/>
      <c r="D7" s="1260"/>
      <c r="E7" s="1260"/>
      <c r="F7" s="1260"/>
    </row>
    <row r="8" spans="1:20" ht="19.5" customHeight="1">
      <c r="A8" s="86"/>
      <c r="B8" s="85"/>
      <c r="C8" s="25" t="s">
        <v>162</v>
      </c>
      <c r="E8" s="25" t="s">
        <v>163</v>
      </c>
      <c r="F8" s="25" t="s">
        <v>164</v>
      </c>
      <c r="G8" s="25" t="s">
        <v>165</v>
      </c>
    </row>
    <row r="9" spans="1:20" ht="18">
      <c r="A9" s="155"/>
      <c r="B9" s="156"/>
      <c r="C9" s="156"/>
      <c r="D9" s="156"/>
      <c r="E9"/>
      <c r="F9"/>
      <c r="G9" s="28"/>
      <c r="H9" s="28"/>
      <c r="I9" s="28"/>
      <c r="J9" s="28"/>
      <c r="K9" s="28"/>
      <c r="L9" s="28"/>
      <c r="M9" s="28"/>
      <c r="N9" s="28"/>
      <c r="O9" s="28"/>
      <c r="P9" s="28"/>
      <c r="Q9" s="28"/>
      <c r="R9" s="28"/>
      <c r="S9" s="28"/>
      <c r="T9" s="28"/>
    </row>
    <row r="10" spans="1:20" ht="18">
      <c r="A10" s="155" t="s">
        <v>169</v>
      </c>
      <c r="B10" s="156"/>
      <c r="C10" s="156"/>
      <c r="D10" s="156"/>
      <c r="E10" s="157" t="s">
        <v>118</v>
      </c>
      <c r="F10" s="155" t="s">
        <v>76</v>
      </c>
    </row>
    <row r="11" spans="1:20" ht="18">
      <c r="A11" s="159" t="s">
        <v>117</v>
      </c>
      <c r="B11" s="201"/>
      <c r="C11" s="159" t="s">
        <v>30</v>
      </c>
      <c r="D11" s="795"/>
      <c r="E11" s="160" t="s">
        <v>183</v>
      </c>
      <c r="F11" s="159" t="s">
        <v>77</v>
      </c>
      <c r="G11" s="160" t="s">
        <v>78</v>
      </c>
      <c r="H11" s="795"/>
      <c r="I11" s="795"/>
    </row>
    <row r="12" spans="1:20" ht="18">
      <c r="A12" s="86"/>
      <c r="B12" s="85"/>
      <c r="C12" s="83"/>
      <c r="D12" s="83"/>
      <c r="E12" s="83"/>
      <c r="F12" s="155"/>
      <c r="G12" s="157"/>
      <c r="I12" s="796"/>
    </row>
    <row r="13" spans="1:20" ht="18">
      <c r="A13" s="86"/>
      <c r="B13" s="85"/>
      <c r="C13" s="85"/>
      <c r="D13" s="85"/>
      <c r="E13" s="87"/>
      <c r="F13" s="83"/>
    </row>
    <row r="14" spans="1:20" ht="19.5">
      <c r="A14" s="86">
        <v>1</v>
      </c>
      <c r="B14" s="85"/>
      <c r="C14" s="88" t="s">
        <v>323</v>
      </c>
      <c r="D14" s="85"/>
      <c r="E14" s="82"/>
      <c r="F14" s="85"/>
    </row>
    <row r="15" spans="1:20" ht="19.5">
      <c r="A15" s="86">
        <f>+A14+1</f>
        <v>2</v>
      </c>
      <c r="B15" s="85"/>
      <c r="C15" s="82" t="s">
        <v>307</v>
      </c>
      <c r="D15"/>
      <c r="E15" s="89">
        <f>SUM(F16:F19)</f>
        <v>5040</v>
      </c>
      <c r="F15" s="82"/>
    </row>
    <row r="16" spans="1:20" ht="19.5">
      <c r="A16" s="86"/>
      <c r="B16" s="85"/>
      <c r="C16" s="90"/>
      <c r="D16"/>
      <c r="E16" s="82"/>
      <c r="F16" s="617">
        <v>5040</v>
      </c>
      <c r="G16" s="618"/>
    </row>
    <row r="17" spans="1:9" ht="19.5">
      <c r="A17" s="86"/>
      <c r="B17" s="85"/>
      <c r="C17" s="90"/>
      <c r="D17"/>
      <c r="E17" s="82"/>
      <c r="F17" s="617"/>
      <c r="G17" s="618"/>
    </row>
    <row r="18" spans="1:9" ht="19.5">
      <c r="A18" s="86"/>
      <c r="B18" s="85"/>
      <c r="C18" s="90"/>
      <c r="D18"/>
      <c r="E18" s="82"/>
      <c r="F18" s="617"/>
      <c r="G18" s="618"/>
    </row>
    <row r="19" spans="1:9" ht="18" customHeight="1">
      <c r="A19" s="86"/>
      <c r="B19" s="85"/>
      <c r="C19" s="90"/>
      <c r="D19"/>
      <c r="E19" s="82"/>
      <c r="F19" s="617"/>
      <c r="G19" s="618"/>
    </row>
    <row r="20" spans="1:9" ht="18" customHeight="1">
      <c r="A20" s="86"/>
      <c r="B20" s="85"/>
      <c r="C20" s="90"/>
      <c r="D20"/>
      <c r="E20" s="82"/>
      <c r="F20" s="617"/>
      <c r="G20" s="618"/>
    </row>
    <row r="21" spans="1:9" ht="18" customHeight="1">
      <c r="A21" s="86"/>
      <c r="B21" s="85"/>
      <c r="C21" s="90"/>
      <c r="D21"/>
      <c r="E21" s="82"/>
      <c r="F21" s="647"/>
      <c r="G21" s="648"/>
    </row>
    <row r="22" spans="1:9" ht="18" customHeight="1">
      <c r="A22" s="86"/>
      <c r="B22" s="85"/>
      <c r="C22" s="25" t="s">
        <v>162</v>
      </c>
      <c r="D22" s="25" t="s">
        <v>163</v>
      </c>
      <c r="E22" s="25" t="s">
        <v>164</v>
      </c>
      <c r="F22" s="25" t="s">
        <v>165</v>
      </c>
      <c r="G22" s="25" t="s">
        <v>84</v>
      </c>
      <c r="H22" s="820" t="s">
        <v>85</v>
      </c>
      <c r="I22" s="25" t="s">
        <v>86</v>
      </c>
    </row>
    <row r="23" spans="1:9" ht="58.5" customHeight="1">
      <c r="A23" s="159"/>
      <c r="B23" s="201"/>
      <c r="C23" s="821" t="s">
        <v>747</v>
      </c>
      <c r="D23" s="822" t="s">
        <v>665</v>
      </c>
      <c r="E23" s="823" t="s">
        <v>745</v>
      </c>
      <c r="F23" s="824" t="s">
        <v>746</v>
      </c>
      <c r="G23" s="825" t="s">
        <v>78</v>
      </c>
      <c r="H23" s="823" t="s">
        <v>811</v>
      </c>
      <c r="I23" s="824" t="s">
        <v>744</v>
      </c>
    </row>
    <row r="24" spans="1:9" ht="19.5">
      <c r="A24" s="86"/>
      <c r="B24" s="85"/>
      <c r="C24" s="90"/>
      <c r="D24" s="3"/>
      <c r="E24" s="82"/>
      <c r="F24" s="89"/>
      <c r="G24" s="202"/>
    </row>
    <row r="25" spans="1:9" ht="39">
      <c r="A25" s="785">
        <f>+A15+1</f>
        <v>3</v>
      </c>
      <c r="B25" s="786"/>
      <c r="C25" s="819" t="s">
        <v>743</v>
      </c>
      <c r="D25" s="826"/>
      <c r="E25" s="827">
        <f>E27+E33+E44+E50</f>
        <v>8129559.9999999981</v>
      </c>
      <c r="F25" s="828"/>
      <c r="G25" s="797"/>
      <c r="H25" s="829"/>
      <c r="I25" s="827">
        <f>I27+I33+I44+I50</f>
        <v>9690137.8829557598</v>
      </c>
    </row>
    <row r="26" spans="1:9" ht="19.5">
      <c r="A26" s="86"/>
      <c r="B26" s="85"/>
      <c r="C26" s="88"/>
      <c r="D26"/>
      <c r="E26" s="82"/>
      <c r="F26" s="203"/>
      <c r="G26" s="202"/>
      <c r="H26" s="787"/>
      <c r="I26" s="788"/>
    </row>
    <row r="27" spans="1:9" ht="19.5">
      <c r="A27" s="86">
        <f>+A25+1</f>
        <v>4</v>
      </c>
      <c r="B27" s="85"/>
      <c r="C27" s="789" t="s">
        <v>596</v>
      </c>
      <c r="D27"/>
      <c r="E27" s="89">
        <f>SUM(F28:F32)</f>
        <v>8129559.9999999981</v>
      </c>
      <c r="F27" s="203"/>
      <c r="G27" s="202"/>
      <c r="H27" s="85"/>
      <c r="I27" s="784">
        <f>SUM(I28:I32)</f>
        <v>9690137.8829557598</v>
      </c>
    </row>
    <row r="28" spans="1:9" ht="19.5">
      <c r="A28" s="86"/>
      <c r="B28" s="85"/>
      <c r="C28" s="789"/>
      <c r="D28" s="617"/>
      <c r="E28" s="89"/>
      <c r="F28" s="617">
        <v>8129559.9999999981</v>
      </c>
      <c r="G28" s="618"/>
      <c r="H28" s="782">
        <f>'WS H Other Taxes'!G57</f>
        <v>1.1919633882960163</v>
      </c>
      <c r="I28" s="833">
        <f>+F28*H28</f>
        <v>9690137.8829557598</v>
      </c>
    </row>
    <row r="29" spans="1:9" ht="19.5">
      <c r="A29" s="86"/>
      <c r="B29" s="85"/>
      <c r="C29" s="789"/>
      <c r="D29" s="617"/>
      <c r="E29" s="89"/>
      <c r="F29" s="617"/>
      <c r="G29" s="618"/>
      <c r="H29" s="782"/>
      <c r="I29" s="833">
        <f>+F29*H29</f>
        <v>0</v>
      </c>
    </row>
    <row r="30" spans="1:9" ht="19.5">
      <c r="A30" s="86"/>
      <c r="B30" s="85"/>
      <c r="C30" s="789"/>
      <c r="D30" s="617"/>
      <c r="E30" s="89"/>
      <c r="F30" s="617"/>
      <c r="G30" s="618"/>
      <c r="H30" s="782"/>
      <c r="I30" s="833">
        <f>+F30*H30</f>
        <v>0</v>
      </c>
    </row>
    <row r="31" spans="1:9" ht="19.5">
      <c r="A31" s="86"/>
      <c r="B31" s="85"/>
      <c r="C31" s="789"/>
      <c r="D31" s="617"/>
      <c r="E31" s="89"/>
      <c r="F31" s="617"/>
      <c r="G31" s="618"/>
      <c r="H31" s="782"/>
      <c r="I31" s="833">
        <f t="shared" ref="I31:I42" si="0">F31*H31</f>
        <v>0</v>
      </c>
    </row>
    <row r="32" spans="1:9" ht="19.5">
      <c r="A32" s="86"/>
      <c r="B32" s="85"/>
      <c r="C32" s="789"/>
      <c r="D32" s="617"/>
      <c r="E32" s="89"/>
      <c r="F32" s="617"/>
      <c r="G32" s="618"/>
      <c r="H32" s="782"/>
      <c r="I32" s="833">
        <f t="shared" si="0"/>
        <v>0</v>
      </c>
    </row>
    <row r="33" spans="1:9" ht="19.5">
      <c r="A33" s="86">
        <f>+A27+1</f>
        <v>5</v>
      </c>
      <c r="B33" s="85"/>
      <c r="C33" s="789" t="s">
        <v>880</v>
      </c>
      <c r="D33"/>
      <c r="E33" s="89">
        <f>SUM(F34:F40)</f>
        <v>0</v>
      </c>
      <c r="F33" s="89"/>
      <c r="G33" s="202"/>
      <c r="I33" s="834">
        <f>SUM(I34:I42)</f>
        <v>0</v>
      </c>
    </row>
    <row r="34" spans="1:9" ht="19.5">
      <c r="A34" s="86"/>
      <c r="B34" s="85"/>
      <c r="C34" s="789"/>
      <c r="D34" s="617"/>
      <c r="E34" s="89"/>
      <c r="F34" s="617">
        <v>0</v>
      </c>
      <c r="G34" s="618"/>
      <c r="H34" s="783"/>
      <c r="I34" s="833">
        <f>F34*H34</f>
        <v>0</v>
      </c>
    </row>
    <row r="35" spans="1:9" ht="19.5">
      <c r="A35" s="86"/>
      <c r="B35" s="85"/>
      <c r="C35" s="789"/>
      <c r="D35" s="617"/>
      <c r="E35" s="89"/>
      <c r="F35" s="617"/>
      <c r="G35" s="618"/>
      <c r="H35" s="618"/>
      <c r="I35" s="833">
        <f t="shared" si="0"/>
        <v>0</v>
      </c>
    </row>
    <row r="36" spans="1:9" ht="19.5">
      <c r="A36" s="86"/>
      <c r="B36" s="85"/>
      <c r="C36" s="789"/>
      <c r="D36" s="617"/>
      <c r="E36" s="89"/>
      <c r="F36" s="617"/>
      <c r="G36" s="618"/>
      <c r="H36" s="618"/>
      <c r="I36" s="833">
        <f t="shared" si="0"/>
        <v>0</v>
      </c>
    </row>
    <row r="37" spans="1:9" ht="19.5">
      <c r="A37" s="86"/>
      <c r="B37" s="85"/>
      <c r="C37" s="789"/>
      <c r="D37" s="617"/>
      <c r="E37" s="89"/>
      <c r="F37" s="617"/>
      <c r="G37" s="618"/>
      <c r="H37" s="618"/>
      <c r="I37" s="833">
        <f t="shared" si="0"/>
        <v>0</v>
      </c>
    </row>
    <row r="38" spans="1:9" ht="19.5">
      <c r="A38" s="86"/>
      <c r="B38" s="85"/>
      <c r="C38" s="789"/>
      <c r="D38" s="617"/>
      <c r="E38" s="89"/>
      <c r="F38" s="617"/>
      <c r="G38" s="618"/>
      <c r="H38" s="618"/>
      <c r="I38" s="833">
        <f t="shared" si="0"/>
        <v>0</v>
      </c>
    </row>
    <row r="39" spans="1:9" ht="19.5">
      <c r="A39" s="86"/>
      <c r="B39" s="85"/>
      <c r="C39" s="789"/>
      <c r="D39" s="617"/>
      <c r="E39" s="89"/>
      <c r="F39" s="617"/>
      <c r="G39" s="618"/>
      <c r="H39" s="618"/>
      <c r="I39" s="833">
        <f t="shared" si="0"/>
        <v>0</v>
      </c>
    </row>
    <row r="40" spans="1:9" ht="19.5">
      <c r="A40" s="86"/>
      <c r="B40" s="85"/>
      <c r="C40" s="789"/>
      <c r="D40" s="617"/>
      <c r="E40" s="89"/>
      <c r="F40" s="617"/>
      <c r="G40" s="618"/>
      <c r="H40" s="618"/>
      <c r="I40" s="833">
        <f t="shared" si="0"/>
        <v>0</v>
      </c>
    </row>
    <row r="41" spans="1:9" ht="19.5">
      <c r="A41" s="86"/>
      <c r="B41" s="85"/>
      <c r="C41" s="789"/>
      <c r="D41" s="617"/>
      <c r="E41" s="89"/>
      <c r="F41" s="617"/>
      <c r="G41" s="618"/>
      <c r="H41" s="618"/>
      <c r="I41" s="833">
        <f t="shared" si="0"/>
        <v>0</v>
      </c>
    </row>
    <row r="42" spans="1:9" ht="19.5">
      <c r="A42" s="86"/>
      <c r="B42" s="85"/>
      <c r="C42" s="789"/>
      <c r="D42" s="617"/>
      <c r="E42" s="89"/>
      <c r="F42" s="617"/>
      <c r="G42" s="618"/>
      <c r="H42" s="618"/>
      <c r="I42" s="833">
        <f t="shared" si="0"/>
        <v>0</v>
      </c>
    </row>
    <row r="43" spans="1:9" ht="19.5">
      <c r="A43" s="86"/>
      <c r="B43" s="85"/>
      <c r="C43" s="789"/>
      <c r="D43" s="85"/>
      <c r="E43" s="89"/>
      <c r="F43" s="3"/>
      <c r="G43" s="232"/>
    </row>
    <row r="44" spans="1:9" ht="19.5">
      <c r="A44" s="86">
        <f>+A33+1</f>
        <v>6</v>
      </c>
      <c r="B44" s="85"/>
      <c r="C44" s="789" t="s">
        <v>595</v>
      </c>
      <c r="D44" s="173"/>
      <c r="E44" s="89">
        <f>SUM(F45:F48)</f>
        <v>0</v>
      </c>
      <c r="F44" s="82"/>
      <c r="G44" s="232" t="s">
        <v>114</v>
      </c>
      <c r="I44" s="834">
        <f>SUM(I45:I49)</f>
        <v>0</v>
      </c>
    </row>
    <row r="45" spans="1:9" ht="19.5">
      <c r="A45" s="86"/>
      <c r="B45" s="85"/>
      <c r="C45" s="789"/>
      <c r="D45" s="617"/>
      <c r="E45" s="89"/>
      <c r="F45" s="617">
        <v>0</v>
      </c>
      <c r="G45" s="618"/>
      <c r="H45" s="783"/>
      <c r="I45" s="833">
        <f>F45*H45</f>
        <v>0</v>
      </c>
    </row>
    <row r="46" spans="1:9" ht="19.5">
      <c r="A46" s="86"/>
      <c r="B46" s="85"/>
      <c r="C46" s="789"/>
      <c r="D46" s="617"/>
      <c r="E46" s="89"/>
      <c r="F46" s="617"/>
      <c r="G46" s="618"/>
      <c r="H46" s="618"/>
      <c r="I46" s="833">
        <f>F46*H46</f>
        <v>0</v>
      </c>
    </row>
    <row r="47" spans="1:9" ht="19.5">
      <c r="A47" s="86"/>
      <c r="B47" s="85"/>
      <c r="C47" s="789"/>
      <c r="D47" s="617"/>
      <c r="E47" s="89"/>
      <c r="F47" s="617"/>
      <c r="G47" s="618"/>
      <c r="H47" s="618"/>
      <c r="I47" s="833">
        <f>F47*H47</f>
        <v>0</v>
      </c>
    </row>
    <row r="48" spans="1:9" ht="19.5">
      <c r="A48" s="86"/>
      <c r="B48" s="85"/>
      <c r="C48" s="789"/>
      <c r="D48" s="617"/>
      <c r="E48" s="89"/>
      <c r="F48" s="617"/>
      <c r="G48" s="618"/>
      <c r="H48" s="618"/>
      <c r="I48" s="833">
        <f>F48*H48</f>
        <v>0</v>
      </c>
    </row>
    <row r="49" spans="1:9" ht="19.5">
      <c r="A49" s="86"/>
      <c r="B49" s="85"/>
      <c r="C49" s="789"/>
      <c r="D49" s="617"/>
      <c r="E49" s="89"/>
      <c r="F49" s="617"/>
      <c r="G49" s="618"/>
      <c r="H49" s="618"/>
      <c r="I49" s="833">
        <f>F49*H49</f>
        <v>0</v>
      </c>
    </row>
    <row r="50" spans="1:9" ht="19.5">
      <c r="A50" s="86"/>
      <c r="B50" s="85"/>
      <c r="C50" s="789"/>
      <c r="D50" s="173"/>
      <c r="E50" s="89">
        <f>SUM(F51:F53)</f>
        <v>0</v>
      </c>
      <c r="F50" s="231"/>
      <c r="G50" s="232"/>
      <c r="I50" s="834">
        <f>SUM(I51:I53)</f>
        <v>0</v>
      </c>
    </row>
    <row r="51" spans="1:9" ht="19.5">
      <c r="A51" s="86">
        <f>A44+1</f>
        <v>7</v>
      </c>
      <c r="B51" s="85"/>
      <c r="C51" s="789" t="s">
        <v>463</v>
      </c>
      <c r="D51" s="617"/>
      <c r="E51" s="89"/>
      <c r="F51" s="617">
        <v>0</v>
      </c>
      <c r="G51" s="618"/>
      <c r="H51" s="618"/>
      <c r="I51" s="833">
        <f>F51*H51</f>
        <v>0</v>
      </c>
    </row>
    <row r="52" spans="1:9" ht="19.5">
      <c r="A52" s="86"/>
      <c r="B52" s="85"/>
      <c r="C52" s="85"/>
      <c r="D52" s="617"/>
      <c r="E52" s="89"/>
      <c r="F52" s="617"/>
      <c r="G52" s="618"/>
      <c r="H52" s="618"/>
      <c r="I52" s="833">
        <f>F52*H52</f>
        <v>0</v>
      </c>
    </row>
    <row r="53" spans="1:9" ht="19.5">
      <c r="A53" s="86"/>
      <c r="B53" s="85"/>
      <c r="C53" s="85"/>
      <c r="D53" s="617"/>
      <c r="E53" s="89"/>
      <c r="F53" s="617"/>
      <c r="G53" s="618"/>
      <c r="H53" s="618"/>
      <c r="I53" s="833">
        <f>F53*H53</f>
        <v>0</v>
      </c>
    </row>
    <row r="54" spans="1:9" ht="19.5">
      <c r="A54" s="798"/>
      <c r="B54" s="799"/>
      <c r="C54" s="799"/>
      <c r="D54" s="800"/>
      <c r="E54" s="801"/>
      <c r="F54" s="800"/>
      <c r="G54" s="802"/>
      <c r="H54" s="802"/>
      <c r="I54" s="803"/>
    </row>
    <row r="55" spans="1:9" ht="19.5">
      <c r="A55" s="86"/>
      <c r="B55" s="85"/>
      <c r="C55" s="85"/>
      <c r="D55" s="173"/>
      <c r="E55" s="89"/>
      <c r="F55" s="231"/>
      <c r="G55" s="232"/>
    </row>
    <row r="56" spans="1:9" ht="18">
      <c r="A56" s="86"/>
      <c r="B56" s="85"/>
      <c r="C56" s="25" t="s">
        <v>162</v>
      </c>
      <c r="E56" s="25" t="s">
        <v>163</v>
      </c>
      <c r="F56" s="25" t="s">
        <v>164</v>
      </c>
      <c r="G56" s="25" t="s">
        <v>165</v>
      </c>
    </row>
    <row r="57" spans="1:9" ht="18">
      <c r="A57" s="155"/>
      <c r="B57" s="156"/>
      <c r="C57" s="156"/>
      <c r="D57" s="156"/>
      <c r="E57"/>
      <c r="F57"/>
      <c r="G57" s="28"/>
    </row>
    <row r="58" spans="1:9" ht="18">
      <c r="A58" s="155" t="s">
        <v>169</v>
      </c>
      <c r="B58" s="156"/>
      <c r="C58" s="156"/>
      <c r="D58" s="156"/>
      <c r="E58" s="157" t="s">
        <v>118</v>
      </c>
      <c r="F58" s="155" t="s">
        <v>76</v>
      </c>
    </row>
    <row r="59" spans="1:9" ht="18">
      <c r="A59" s="159" t="s">
        <v>117</v>
      </c>
      <c r="B59" s="201"/>
      <c r="C59" s="159" t="s">
        <v>30</v>
      </c>
      <c r="D59" s="795"/>
      <c r="E59" s="160" t="s">
        <v>183</v>
      </c>
      <c r="F59" s="159" t="s">
        <v>77</v>
      </c>
      <c r="G59" s="160" t="s">
        <v>78</v>
      </c>
    </row>
    <row r="60" spans="1:9" ht="19.5">
      <c r="A60" s="86">
        <f>+A51+1</f>
        <v>8</v>
      </c>
      <c r="B60" s="85"/>
      <c r="C60" s="88" t="s">
        <v>325</v>
      </c>
      <c r="D60" s="85"/>
      <c r="E60" s="82"/>
      <c r="F60" s="85" t="s">
        <v>114</v>
      </c>
      <c r="G60" s="202"/>
    </row>
    <row r="61" spans="1:9" ht="19.5">
      <c r="A61" s="86">
        <f>+A60+1</f>
        <v>9</v>
      </c>
      <c r="B61" s="85"/>
      <c r="C61" s="85" t="s">
        <v>321</v>
      </c>
      <c r="D61" s="85"/>
      <c r="E61" s="89">
        <f>SUM(F62)</f>
        <v>1415814.3942681958</v>
      </c>
      <c r="F61" s="204"/>
      <c r="G61" s="202"/>
    </row>
    <row r="62" spans="1:9" ht="19.5">
      <c r="A62" s="86"/>
      <c r="B62" s="85"/>
      <c r="C62" s="85"/>
      <c r="D62" s="85"/>
      <c r="E62" s="89"/>
      <c r="F62" s="617">
        <v>1415814.3942681958</v>
      </c>
      <c r="G62" s="618"/>
    </row>
    <row r="63" spans="1:9" ht="19.5">
      <c r="A63" s="86">
        <f>+A61+1</f>
        <v>10</v>
      </c>
      <c r="B63" s="85"/>
      <c r="C63" s="85" t="s">
        <v>314</v>
      </c>
      <c r="D63" s="85"/>
      <c r="E63" s="89">
        <f>SUM(F64)</f>
        <v>5460</v>
      </c>
      <c r="F63" s="82"/>
      <c r="G63" s="235"/>
    </row>
    <row r="64" spans="1:9" ht="19.5">
      <c r="A64" s="86"/>
      <c r="B64" s="85"/>
      <c r="C64" s="85"/>
      <c r="D64" s="85"/>
      <c r="E64" s="89"/>
      <c r="F64" s="617">
        <v>5460</v>
      </c>
      <c r="G64" s="618"/>
    </row>
    <row r="65" spans="1:7" ht="19.5">
      <c r="A65" s="86">
        <f>+A63+1</f>
        <v>11</v>
      </c>
      <c r="B65" s="85"/>
      <c r="C65" s="85" t="s">
        <v>315</v>
      </c>
      <c r="D65" s="85"/>
      <c r="E65" s="89">
        <f>SUM(F66:F70)</f>
        <v>10532.332440883369</v>
      </c>
      <c r="F65" s="82"/>
      <c r="G65" s="202"/>
    </row>
    <row r="66" spans="1:7" ht="19.5">
      <c r="A66" s="86"/>
      <c r="B66" s="85"/>
      <c r="C66" s="85"/>
      <c r="D66" s="85"/>
      <c r="E66" s="89"/>
      <c r="F66" s="617">
        <v>10532.332440883369</v>
      </c>
      <c r="G66" s="618"/>
    </row>
    <row r="67" spans="1:7" ht="19.5">
      <c r="A67" s="86"/>
      <c r="B67" s="85"/>
      <c r="C67" s="85"/>
      <c r="D67" s="85"/>
      <c r="E67" s="89"/>
      <c r="F67" s="617"/>
      <c r="G67" s="618"/>
    </row>
    <row r="68" spans="1:7" ht="19.5">
      <c r="A68" s="86"/>
      <c r="B68" s="85"/>
      <c r="C68" s="85"/>
      <c r="D68" s="85"/>
      <c r="E68" s="89"/>
      <c r="F68" s="617"/>
      <c r="G68" s="618"/>
    </row>
    <row r="69" spans="1:7" ht="19.5">
      <c r="A69" s="84"/>
      <c r="D69" s="85"/>
      <c r="E69" s="82"/>
      <c r="F69" s="617"/>
      <c r="G69" s="618"/>
    </row>
    <row r="70" spans="1:7" ht="19.5">
      <c r="A70" s="84"/>
      <c r="D70" s="85"/>
      <c r="E70" s="82"/>
      <c r="F70" s="617"/>
      <c r="G70" s="618"/>
    </row>
    <row r="71" spans="1:7" ht="19.5">
      <c r="A71" s="86">
        <f>A65+1</f>
        <v>12</v>
      </c>
      <c r="B71" s="85"/>
      <c r="C71" s="88" t="s">
        <v>440</v>
      </c>
      <c r="D71" s="85"/>
      <c r="E71" s="89">
        <f>SUM(F72:F72)</f>
        <v>0</v>
      </c>
      <c r="F71" s="231"/>
      <c r="G71" s="232"/>
    </row>
    <row r="72" spans="1:7" ht="19.5">
      <c r="A72" s="86">
        <f>+A71+1</f>
        <v>13</v>
      </c>
      <c r="B72" s="85"/>
      <c r="C72" s="82" t="s">
        <v>441</v>
      </c>
      <c r="D72" s="173"/>
      <c r="E72" s="89"/>
      <c r="F72" s="617">
        <v>0</v>
      </c>
      <c r="G72" s="618"/>
    </row>
    <row r="73" spans="1:7" ht="19.5">
      <c r="A73" s="86"/>
      <c r="B73" s="85"/>
      <c r="C73" s="82"/>
      <c r="D73" s="85"/>
      <c r="E73" s="208"/>
      <c r="F73" s="231"/>
      <c r="G73" s="82"/>
    </row>
    <row r="74" spans="1:7" ht="19.5">
      <c r="A74" s="92">
        <f>+A72+1</f>
        <v>14</v>
      </c>
      <c r="B74" s="85"/>
      <c r="C74" s="88" t="s">
        <v>322</v>
      </c>
      <c r="D74" s="94"/>
      <c r="E74" s="82"/>
      <c r="F74" s="82"/>
      <c r="G74" s="82"/>
    </row>
    <row r="75" spans="1:7" ht="19.5">
      <c r="A75" s="92">
        <f>A74+1</f>
        <v>15</v>
      </c>
      <c r="B75" s="93"/>
      <c r="C75" s="82" t="s">
        <v>891</v>
      </c>
      <c r="D75" s="94"/>
      <c r="E75" s="89">
        <f>SUM(F76:F77)</f>
        <v>2968000</v>
      </c>
      <c r="F75" s="82"/>
      <c r="G75" s="82"/>
    </row>
    <row r="76" spans="1:7" ht="19.5">
      <c r="A76" s="92"/>
      <c r="B76" s="93"/>
      <c r="C76" s="82"/>
      <c r="E76" s="208"/>
      <c r="F76" s="617">
        <v>2968000</v>
      </c>
      <c r="G76" s="618"/>
    </row>
    <row r="77" spans="1:7" ht="19.5">
      <c r="A77" s="92"/>
      <c r="B77" s="93"/>
      <c r="C77" s="82"/>
      <c r="E77" s="208"/>
      <c r="F77" s="617"/>
      <c r="G77" s="618"/>
    </row>
    <row r="78" spans="1:7" ht="19.5">
      <c r="A78" s="92"/>
      <c r="B78" s="93"/>
      <c r="C78" s="82"/>
      <c r="E78" s="208"/>
      <c r="F78" s="617"/>
      <c r="G78" s="618"/>
    </row>
    <row r="79" spans="1:7" ht="19.5">
      <c r="A79" s="86">
        <f>A75+1</f>
        <v>16</v>
      </c>
      <c r="B79" s="93"/>
      <c r="C79" s="82" t="s">
        <v>316</v>
      </c>
      <c r="D79" s="85"/>
      <c r="E79" s="89">
        <f>SUM(F80:F81)</f>
        <v>0</v>
      </c>
      <c r="F79" s="82"/>
      <c r="G79" s="82"/>
    </row>
    <row r="80" spans="1:7" ht="19.5">
      <c r="A80" s="86"/>
      <c r="B80" s="93"/>
      <c r="C80" s="82"/>
      <c r="D80" s="85"/>
      <c r="E80" s="89"/>
      <c r="F80" s="617">
        <v>0</v>
      </c>
      <c r="G80" s="618"/>
    </row>
    <row r="81" spans="1:7" ht="19.5">
      <c r="A81" s="86"/>
      <c r="B81" s="93"/>
      <c r="C81" s="82"/>
      <c r="D81" s="85"/>
      <c r="E81" s="89"/>
      <c r="F81" s="617"/>
      <c r="G81" s="618"/>
    </row>
    <row r="82" spans="1:7" ht="19.5">
      <c r="A82" s="86"/>
      <c r="B82" s="93"/>
      <c r="C82" s="82"/>
      <c r="D82" s="85"/>
      <c r="E82" s="89"/>
      <c r="F82" s="617"/>
      <c r="G82" s="618"/>
    </row>
    <row r="83" spans="1:7" ht="19.5">
      <c r="A83" s="86">
        <f>+A79+1</f>
        <v>17</v>
      </c>
      <c r="B83" s="85"/>
      <c r="C83" s="82" t="s">
        <v>317</v>
      </c>
      <c r="D83"/>
      <c r="E83" s="89">
        <f>SUM(F84:F91)</f>
        <v>0</v>
      </c>
    </row>
    <row r="84" spans="1:7" ht="19.5">
      <c r="A84" s="86"/>
      <c r="B84" s="85"/>
      <c r="C84" s="82"/>
      <c r="D84"/>
      <c r="E84" s="89"/>
      <c r="F84" s="617">
        <v>0</v>
      </c>
      <c r="G84" s="618"/>
    </row>
    <row r="85" spans="1:7" ht="19.5">
      <c r="A85" s="86"/>
      <c r="B85" s="85"/>
      <c r="C85" s="82"/>
      <c r="D85"/>
      <c r="E85" s="89"/>
      <c r="F85" s="617"/>
      <c r="G85" s="618"/>
    </row>
    <row r="86" spans="1:7" ht="19.5">
      <c r="A86" s="86"/>
      <c r="B86" s="85"/>
      <c r="C86" s="82"/>
      <c r="D86"/>
      <c r="E86" s="89"/>
      <c r="F86" s="617"/>
      <c r="G86" s="618"/>
    </row>
    <row r="87" spans="1:7" ht="19.5">
      <c r="A87" s="86"/>
      <c r="B87" s="85"/>
      <c r="C87" s="82"/>
      <c r="D87"/>
      <c r="E87" s="89"/>
      <c r="F87" s="617"/>
      <c r="G87" s="618"/>
    </row>
    <row r="88" spans="1:7" ht="19.5">
      <c r="A88" s="86"/>
      <c r="B88" s="85"/>
      <c r="C88" s="82"/>
      <c r="D88"/>
      <c r="E88" s="89"/>
      <c r="F88" s="617"/>
      <c r="G88" s="618"/>
    </row>
    <row r="89" spans="1:7" ht="19.5">
      <c r="A89" s="86"/>
      <c r="B89" s="85"/>
      <c r="C89" s="82"/>
      <c r="D89"/>
      <c r="E89" s="89"/>
      <c r="F89" s="617"/>
      <c r="G89" s="618"/>
    </row>
    <row r="90" spans="1:7" ht="19.5">
      <c r="A90" s="86"/>
      <c r="B90" s="85"/>
      <c r="C90" s="82"/>
      <c r="D90"/>
      <c r="E90" s="89"/>
      <c r="F90" s="617"/>
      <c r="G90" s="618"/>
    </row>
    <row r="91" spans="1:7" ht="19.5">
      <c r="A91" s="86"/>
      <c r="B91" s="85"/>
      <c r="C91" s="82"/>
      <c r="D91"/>
      <c r="E91" s="89"/>
      <c r="F91" s="617"/>
      <c r="G91" s="618"/>
    </row>
    <row r="92" spans="1:7" ht="19.5">
      <c r="A92" s="86"/>
      <c r="B92" s="85"/>
      <c r="C92" s="82"/>
      <c r="D92"/>
      <c r="E92" s="89"/>
      <c r="F92" s="82"/>
      <c r="G92" s="82"/>
    </row>
    <row r="93" spans="1:7" ht="19.5">
      <c r="A93" s="86">
        <f>+A83+1</f>
        <v>18</v>
      </c>
      <c r="B93" s="85"/>
      <c r="C93" s="82" t="s">
        <v>318</v>
      </c>
      <c r="D93"/>
      <c r="E93" s="89">
        <f>SUM(F94:F99)</f>
        <v>0</v>
      </c>
      <c r="F93" s="82"/>
      <c r="G93" s="82"/>
    </row>
    <row r="94" spans="1:7" ht="19.5">
      <c r="A94" s="86"/>
      <c r="B94" s="85"/>
      <c r="C94" s="82"/>
      <c r="D94"/>
      <c r="E94" s="89"/>
      <c r="F94" s="617">
        <v>0</v>
      </c>
      <c r="G94" s="618"/>
    </row>
    <row r="95" spans="1:7" ht="19.5">
      <c r="A95" s="86"/>
      <c r="B95" s="85"/>
      <c r="C95" s="82"/>
      <c r="D95"/>
      <c r="E95" s="89"/>
      <c r="F95" s="617"/>
      <c r="G95" s="618"/>
    </row>
    <row r="96" spans="1:7" ht="19.5">
      <c r="A96" s="86"/>
      <c r="B96" s="85"/>
      <c r="C96" s="82"/>
      <c r="D96"/>
      <c r="E96" s="89"/>
      <c r="F96" s="617"/>
      <c r="G96" s="618"/>
    </row>
    <row r="97" spans="1:7" ht="19.5">
      <c r="A97" s="86"/>
      <c r="B97" s="85"/>
      <c r="C97" s="82"/>
      <c r="D97"/>
      <c r="E97" s="89"/>
      <c r="F97" s="617"/>
      <c r="G97" s="618"/>
    </row>
    <row r="98" spans="1:7" ht="19.5">
      <c r="A98" s="86"/>
      <c r="B98" s="85"/>
      <c r="C98" s="82"/>
      <c r="D98"/>
      <c r="E98" s="89"/>
      <c r="F98" s="617"/>
      <c r="G98" s="618"/>
    </row>
    <row r="99" spans="1:7" ht="19.5">
      <c r="A99" s="86"/>
      <c r="B99" s="85"/>
      <c r="C99" s="82"/>
      <c r="D99"/>
      <c r="E99" s="89"/>
      <c r="F99" s="617"/>
      <c r="G99" s="618"/>
    </row>
    <row r="100" spans="1:7" ht="19.5">
      <c r="A100" s="86">
        <f>+A93+1</f>
        <v>19</v>
      </c>
      <c r="B100" s="85"/>
      <c r="C100" s="82" t="s">
        <v>319</v>
      </c>
      <c r="D100" s="85"/>
      <c r="E100" s="89">
        <f>SUM(F101:F102)</f>
        <v>0</v>
      </c>
      <c r="F100" s="82"/>
      <c r="G100" s="232"/>
    </row>
    <row r="101" spans="1:7" ht="19.5">
      <c r="A101" s="86"/>
      <c r="B101" s="85"/>
      <c r="C101" s="82"/>
      <c r="D101" s="85"/>
      <c r="E101" s="89"/>
      <c r="F101" s="617">
        <v>0</v>
      </c>
      <c r="G101" s="618"/>
    </row>
    <row r="102" spans="1:7" ht="19.5">
      <c r="A102" s="86"/>
      <c r="B102" s="85"/>
      <c r="C102" s="82"/>
      <c r="D102" s="85"/>
      <c r="E102" s="208"/>
      <c r="F102" s="617"/>
      <c r="G102" s="618"/>
    </row>
    <row r="103" spans="1:7" ht="19.5">
      <c r="A103" s="86">
        <f>+A100+1</f>
        <v>20</v>
      </c>
      <c r="B103" s="85"/>
      <c r="C103" s="82" t="s">
        <v>320</v>
      </c>
      <c r="E103" s="89">
        <f>SUM(F104:F106)</f>
        <v>600</v>
      </c>
      <c r="G103" s="82"/>
    </row>
    <row r="104" spans="1:7" ht="19.5">
      <c r="A104" s="86"/>
      <c r="B104" s="85"/>
      <c r="C104" s="82"/>
      <c r="D104" s="85"/>
      <c r="E104" s="89"/>
      <c r="F104" s="617">
        <v>600</v>
      </c>
      <c r="G104" s="618"/>
    </row>
    <row r="105" spans="1:7" ht="19.5">
      <c r="A105" s="86"/>
      <c r="B105" s="85"/>
      <c r="C105" s="82"/>
      <c r="D105" s="85"/>
      <c r="E105" s="89"/>
      <c r="F105" s="617"/>
      <c r="G105" s="618"/>
    </row>
    <row r="106" spans="1:7" ht="19.5">
      <c r="A106" s="86"/>
      <c r="B106" s="85"/>
      <c r="C106" s="82"/>
      <c r="D106" s="85"/>
      <c r="E106" s="89"/>
      <c r="F106" s="82"/>
      <c r="G106" s="82"/>
    </row>
    <row r="107" spans="1:7" ht="19.5">
      <c r="A107" s="86">
        <f>+A103+1</f>
        <v>21</v>
      </c>
      <c r="B107" s="85"/>
      <c r="C107" s="82" t="s">
        <v>308</v>
      </c>
      <c r="D107" s="82"/>
      <c r="E107" s="89">
        <f>SUM(F108:F109)</f>
        <v>0</v>
      </c>
      <c r="F107" s="82"/>
      <c r="G107" s="82"/>
    </row>
    <row r="108" spans="1:7" ht="19.5">
      <c r="A108" s="86"/>
      <c r="B108" s="85"/>
      <c r="C108" s="82"/>
      <c r="D108" s="82"/>
      <c r="E108" s="89"/>
      <c r="F108" s="617">
        <v>0</v>
      </c>
      <c r="G108" s="618"/>
    </row>
    <row r="109" spans="1:7" ht="19.5">
      <c r="A109" s="86"/>
      <c r="B109" s="85"/>
      <c r="C109" s="82"/>
      <c r="D109" s="82"/>
      <c r="E109" s="89"/>
      <c r="F109" s="617"/>
      <c r="G109" s="618"/>
    </row>
    <row r="110" spans="1:7" ht="19.5">
      <c r="A110" s="86">
        <f>+A107+1</f>
        <v>22</v>
      </c>
      <c r="B110" s="82"/>
      <c r="C110" s="104" t="s">
        <v>989</v>
      </c>
      <c r="D110" s="82"/>
      <c r="E110" s="89">
        <f>SUM(F111:F111)</f>
        <v>9245000</v>
      </c>
      <c r="F110" s="203"/>
      <c r="G110" s="82"/>
    </row>
    <row r="111" spans="1:7" ht="19.5">
      <c r="A111" s="86"/>
      <c r="B111" s="82"/>
      <c r="C111" s="104"/>
      <c r="D111" s="82"/>
      <c r="E111" s="89"/>
      <c r="F111" s="617">
        <v>9245000</v>
      </c>
      <c r="G111" s="618"/>
    </row>
    <row r="112" spans="1:7" ht="19.5">
      <c r="A112" s="3"/>
      <c r="B112" s="82"/>
      <c r="C112" s="192"/>
      <c r="D112"/>
      <c r="E112"/>
      <c r="F112" s="191"/>
      <c r="G112" s="1"/>
    </row>
    <row r="113" spans="1:7" ht="20.25" thickBot="1">
      <c r="A113" s="185">
        <f>+A110+1</f>
        <v>23</v>
      </c>
      <c r="B113" s="192"/>
      <c r="C113" s="82" t="s">
        <v>311</v>
      </c>
      <c r="D113"/>
      <c r="E113" s="103">
        <f>E15+E25+E61+E63+E65+E75+E79+E83+E110+E107+E103+E100+E93+E71</f>
        <v>21780006.726709075</v>
      </c>
      <c r="F113" s="103">
        <f>SUM(F15:F111)</f>
        <v>21780006.726709075</v>
      </c>
      <c r="G113" s="82"/>
    </row>
    <row r="114" spans="1:7" ht="20.25" thickTop="1">
      <c r="A114" s="3"/>
      <c r="B114" s="192"/>
      <c r="C114" s="82" t="s">
        <v>381</v>
      </c>
      <c r="D114"/>
      <c r="E114"/>
      <c r="F114" s="203"/>
      <c r="G114" s="82"/>
    </row>
    <row r="115" spans="1:7" ht="21">
      <c r="A115" s="3"/>
      <c r="B115" s="192"/>
      <c r="C115" s="82"/>
      <c r="D115"/>
      <c r="E115" s="217"/>
      <c r="F115" s="127"/>
      <c r="G115" s="82"/>
    </row>
    <row r="116" spans="1:7" ht="20.25" customHeight="1">
      <c r="A116" s="1287" t="s">
        <v>756</v>
      </c>
      <c r="B116" s="1287"/>
      <c r="C116" s="1287"/>
      <c r="D116" s="1287"/>
      <c r="E116" s="1287"/>
      <c r="F116" s="1287"/>
      <c r="G116" s="1287"/>
    </row>
    <row r="117" spans="1:7" ht="20.25" customHeight="1">
      <c r="A117" s="1287"/>
      <c r="B117" s="1287"/>
      <c r="C117" s="1287"/>
      <c r="D117" s="1287"/>
      <c r="E117" s="1287"/>
      <c r="F117" s="1287"/>
      <c r="G117" s="1287"/>
    </row>
    <row r="118" spans="1:7" ht="20.25" customHeight="1">
      <c r="A118" s="1287"/>
      <c r="B118" s="1287"/>
      <c r="C118" s="1287"/>
      <c r="D118" s="1287"/>
      <c r="E118" s="1287"/>
      <c r="F118" s="1287"/>
      <c r="G118" s="1287"/>
    </row>
    <row r="119" spans="1:7" ht="20.25" customHeight="1">
      <c r="A119" s="1287"/>
      <c r="B119" s="1287"/>
      <c r="C119" s="1287"/>
      <c r="D119" s="1287"/>
      <c r="E119" s="1287"/>
      <c r="F119" s="1287"/>
      <c r="G119" s="1287"/>
    </row>
    <row r="120" spans="1:7" ht="20.25" customHeight="1">
      <c r="A120" s="1287"/>
      <c r="B120" s="1287"/>
      <c r="C120" s="1287"/>
      <c r="D120" s="1287"/>
      <c r="E120" s="1287"/>
      <c r="F120" s="1287"/>
      <c r="G120" s="1287"/>
    </row>
    <row r="121" spans="1:7" ht="20.25" customHeight="1">
      <c r="A121" s="830"/>
      <c r="B121" s="830"/>
      <c r="C121" s="830"/>
      <c r="D121" s="830"/>
      <c r="E121" s="830"/>
      <c r="F121" s="830"/>
      <c r="G121" s="830"/>
    </row>
    <row r="122" spans="1:7" ht="30.75" customHeight="1">
      <c r="A122" s="1286" t="s">
        <v>855</v>
      </c>
      <c r="B122" s="1286"/>
      <c r="C122" s="1286"/>
      <c r="D122" s="1286"/>
      <c r="E122" s="1286"/>
      <c r="F122" s="1286"/>
      <c r="G122" s="1286"/>
    </row>
    <row r="123" spans="1:7" ht="30.75" customHeight="1">
      <c r="A123" s="1286"/>
      <c r="B123" s="1286"/>
      <c r="C123" s="1286"/>
      <c r="D123" s="1286"/>
      <c r="E123" s="1286"/>
      <c r="F123" s="1286"/>
      <c r="G123" s="1286"/>
    </row>
    <row r="124" spans="1:7" ht="19.5">
      <c r="F124" s="82"/>
      <c r="G124" s="82"/>
    </row>
  </sheetData>
  <mergeCells count="7">
    <mergeCell ref="A122:G123"/>
    <mergeCell ref="A116:G120"/>
    <mergeCell ref="A7:F7"/>
    <mergeCell ref="A3:F3"/>
    <mergeCell ref="A4:F4"/>
    <mergeCell ref="A5:F5"/>
    <mergeCell ref="A6:F6"/>
  </mergeCells>
  <phoneticPr fontId="71"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C29"/>
  <sheetViews>
    <sheetView view="pageBreakPreview" zoomScale="60" zoomScaleNormal="100" workbookViewId="0">
      <selection activeCell="A3" sqref="A3:O3"/>
    </sheetView>
  </sheetViews>
  <sheetFormatPr defaultRowHeight="12.75"/>
  <cols>
    <col min="1" max="1" width="4.7109375" customWidth="1"/>
    <col min="3" max="3" width="13.85546875" customWidth="1"/>
    <col min="4" max="4" width="18.85546875" customWidth="1"/>
    <col min="5" max="5" width="13.140625" customWidth="1"/>
    <col min="6" max="6" width="12.5703125" customWidth="1"/>
    <col min="7" max="7" width="19.42578125" customWidth="1"/>
    <col min="8" max="8" width="19.28515625" customWidth="1"/>
    <col min="9" max="9" width="18.7109375" customWidth="1"/>
    <col min="10" max="10" width="1.42578125" customWidth="1"/>
    <col min="12" max="12" width="15" bestFit="1" customWidth="1"/>
  </cols>
  <sheetData>
    <row r="1" spans="1:29" ht="15.75">
      <c r="A1" s="645" t="s">
        <v>114</v>
      </c>
    </row>
    <row r="2" spans="1:29" ht="15.75">
      <c r="A2" s="645" t="s">
        <v>114</v>
      </c>
    </row>
    <row r="3" spans="1:29" ht="18">
      <c r="A3" s="1289" t="s">
        <v>387</v>
      </c>
      <c r="B3" s="1289"/>
      <c r="C3" s="1289"/>
      <c r="D3" s="1289"/>
      <c r="E3" s="1289"/>
      <c r="F3" s="1289"/>
      <c r="G3" s="1289"/>
      <c r="H3" s="1289"/>
      <c r="I3" s="1289"/>
      <c r="J3" s="1289"/>
      <c r="K3" s="121"/>
      <c r="L3" s="121"/>
      <c r="M3" s="121"/>
    </row>
    <row r="4" spans="1:29" ht="18">
      <c r="A4" s="1288" t="str">
        <f>"Cost of Service Formula Rate Using "&amp;TCOS!L4&amp;" FF1 Balances"</f>
        <v>Cost of Service Formula Rate Using 2026 FF1 Balances</v>
      </c>
      <c r="B4" s="1288"/>
      <c r="C4" s="1288"/>
      <c r="D4" s="1288"/>
      <c r="E4" s="1288"/>
      <c r="F4" s="1288"/>
      <c r="G4" s="1288"/>
      <c r="H4" s="1288"/>
      <c r="I4" s="1288"/>
      <c r="J4" s="1288"/>
      <c r="K4" s="72"/>
      <c r="L4" s="72"/>
      <c r="M4" s="72"/>
    </row>
    <row r="5" spans="1:29" ht="18">
      <c r="A5" s="1288" t="s">
        <v>546</v>
      </c>
      <c r="B5" s="1288"/>
      <c r="C5" s="1288"/>
      <c r="D5" s="1288"/>
      <c r="E5" s="1288"/>
      <c r="F5" s="1288"/>
      <c r="G5" s="1288"/>
      <c r="H5" s="1288"/>
      <c r="I5" s="1288"/>
      <c r="J5" s="1288"/>
      <c r="K5" s="122"/>
      <c r="L5" s="122"/>
      <c r="M5" s="122"/>
    </row>
    <row r="6" spans="1:29" ht="18">
      <c r="A6" s="1282" t="str">
        <f>+TCOS!F9</f>
        <v>WHEELING POWER COMPANY</v>
      </c>
      <c r="B6" s="1282"/>
      <c r="C6" s="1282"/>
      <c r="D6" s="1282"/>
      <c r="E6" s="1282"/>
      <c r="F6" s="1282"/>
      <c r="G6" s="1282"/>
      <c r="H6" s="1282"/>
      <c r="I6" s="1282"/>
      <c r="J6" s="1282"/>
      <c r="K6" s="128"/>
      <c r="L6" s="128"/>
      <c r="M6" s="128"/>
    </row>
    <row r="8" spans="1:29" ht="18">
      <c r="A8" s="134"/>
      <c r="B8" s="13"/>
      <c r="D8" s="76"/>
      <c r="E8" s="3"/>
      <c r="F8" s="78"/>
    </row>
    <row r="9" spans="1:29" ht="18">
      <c r="C9" s="3"/>
      <c r="D9" s="76"/>
      <c r="E9" s="3"/>
      <c r="F9" s="78"/>
      <c r="Q9" s="121"/>
      <c r="R9" s="121"/>
      <c r="S9" s="121"/>
      <c r="T9" s="121"/>
      <c r="U9" s="121"/>
      <c r="V9" s="121"/>
      <c r="W9" s="121"/>
      <c r="X9" s="121"/>
      <c r="Y9" s="121"/>
      <c r="Z9" s="121"/>
      <c r="AA9" s="121"/>
      <c r="AB9" s="121"/>
      <c r="AC9" s="121"/>
    </row>
    <row r="10" spans="1:29">
      <c r="C10" s="3"/>
      <c r="D10" s="76"/>
    </row>
    <row r="11" spans="1:29">
      <c r="C11" s="3"/>
      <c r="D11" s="76"/>
    </row>
    <row r="12" spans="1:29">
      <c r="C12" s="3"/>
      <c r="D12" s="76"/>
      <c r="H12" s="77"/>
    </row>
    <row r="13" spans="1:29">
      <c r="C13" s="3"/>
      <c r="D13" s="76"/>
      <c r="H13" s="77"/>
    </row>
    <row r="14" spans="1:29">
      <c r="C14" s="3"/>
      <c r="D14" s="76"/>
      <c r="E14" s="3"/>
      <c r="H14" s="77"/>
    </row>
    <row r="15" spans="1:29">
      <c r="C15" s="3"/>
      <c r="D15" s="76"/>
      <c r="E15" s="3"/>
      <c r="H15" s="78"/>
    </row>
    <row r="16" spans="1:29">
      <c r="C16" s="3"/>
      <c r="D16" s="76"/>
      <c r="E16" s="3"/>
      <c r="H16" s="129"/>
    </row>
    <row r="18" spans="1:12" ht="18">
      <c r="A18" s="134"/>
      <c r="B18" s="13"/>
    </row>
    <row r="20" spans="1:12">
      <c r="A20" s="12"/>
      <c r="B20" s="12"/>
      <c r="C20" s="130"/>
      <c r="E20" s="130"/>
      <c r="F20" s="130"/>
      <c r="G20" s="130"/>
      <c r="H20" s="130"/>
      <c r="I20" s="130"/>
      <c r="J20" s="131"/>
    </row>
    <row r="22" spans="1:12">
      <c r="E22" s="132"/>
      <c r="F22" s="133"/>
      <c r="G22" s="133"/>
      <c r="I22" s="133"/>
      <c r="L22" s="233"/>
    </row>
    <row r="23" spans="1:12">
      <c r="E23" s="80"/>
      <c r="F23" s="133"/>
      <c r="G23" s="133"/>
      <c r="I23" s="133"/>
      <c r="L23" s="233"/>
    </row>
    <row r="24" spans="1:12">
      <c r="E24" s="80"/>
      <c r="F24" s="133"/>
      <c r="G24" s="133"/>
      <c r="I24" s="133"/>
      <c r="L24" s="233"/>
    </row>
    <row r="25" spans="1:12">
      <c r="E25" s="80"/>
      <c r="F25" s="133"/>
      <c r="G25" s="133"/>
      <c r="I25" s="133"/>
      <c r="L25" s="233"/>
    </row>
    <row r="26" spans="1:12" ht="4.1500000000000004" customHeight="1">
      <c r="D26" s="137"/>
      <c r="H26" s="135"/>
    </row>
    <row r="27" spans="1:12">
      <c r="D27" s="137"/>
    </row>
    <row r="28" spans="1:12">
      <c r="D28" s="137"/>
      <c r="H28" s="76"/>
    </row>
    <row r="29" spans="1:12">
      <c r="D29" s="137"/>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260"/>
  <sheetViews>
    <sheetView view="pageBreakPreview" zoomScale="85" zoomScaleNormal="100" zoomScaleSheetLayoutView="85" workbookViewId="0">
      <selection activeCell="H26" sqref="A21:H26"/>
    </sheetView>
  </sheetViews>
  <sheetFormatPr defaultColWidth="8.85546875" defaultRowHeight="12.75"/>
  <cols>
    <col min="1" max="1" width="4.7109375" customWidth="1"/>
    <col min="2" max="2" width="6.7109375" customWidth="1"/>
    <col min="3" max="3" width="42" customWidth="1"/>
    <col min="4" max="4" width="17.7109375" style="1" customWidth="1"/>
    <col min="5" max="7" width="17.7109375" customWidth="1"/>
    <col min="8" max="8" width="17.7109375" style="403" customWidth="1"/>
    <col min="9" max="9" width="17.7109375" bestFit="1" customWidth="1"/>
    <col min="10" max="10" width="2.140625" customWidth="1"/>
    <col min="11" max="11" width="20.7109375" customWidth="1"/>
    <col min="12" max="14" width="17.7109375" customWidth="1"/>
    <col min="15" max="15" width="16.7109375" customWidth="1"/>
    <col min="16" max="16" width="2.140625" style="3" customWidth="1"/>
  </cols>
  <sheetData>
    <row r="1" spans="1:16" ht="15.75">
      <c r="A1" s="645" t="s">
        <v>114</v>
      </c>
    </row>
    <row r="2" spans="1:16" ht="15.75">
      <c r="A2" s="645" t="s">
        <v>114</v>
      </c>
    </row>
    <row r="3" spans="1:16" ht="15">
      <c r="A3" s="1251" t="s">
        <v>387</v>
      </c>
      <c r="B3" s="1251"/>
      <c r="C3" s="1251"/>
      <c r="D3" s="1251"/>
      <c r="E3" s="1251"/>
      <c r="F3" s="1251"/>
      <c r="G3" s="1251"/>
      <c r="H3" s="1251"/>
      <c r="I3" s="1251"/>
      <c r="J3" s="1251"/>
      <c r="K3" s="1251"/>
      <c r="L3" s="1251"/>
      <c r="M3" s="1251"/>
      <c r="N3" s="1251"/>
      <c r="O3" s="1251"/>
    </row>
    <row r="4" spans="1:16" ht="15">
      <c r="A4" s="1252" t="str">
        <f>"Cost of Service Formula Rate Using "&amp;TCOS!L4&amp;" FF1 Balances"</f>
        <v>Cost of Service Formula Rate Using 2026 FF1 Balances</v>
      </c>
      <c r="B4" s="1252"/>
      <c r="C4" s="1252"/>
      <c r="D4" s="1252"/>
      <c r="E4" s="1252"/>
      <c r="F4" s="1252"/>
      <c r="G4" s="1252"/>
      <c r="H4" s="1252"/>
      <c r="I4" s="1252"/>
      <c r="J4" s="1252"/>
      <c r="K4" s="1252"/>
      <c r="L4" s="1252"/>
      <c r="M4" s="1252"/>
      <c r="N4" s="1252"/>
      <c r="O4" s="1252"/>
    </row>
    <row r="5" spans="1:16" ht="15">
      <c r="A5" s="1252" t="s">
        <v>468</v>
      </c>
      <c r="B5" s="1252"/>
      <c r="C5" s="1252"/>
      <c r="D5" s="1252"/>
      <c r="E5" s="1252"/>
      <c r="F5" s="1252"/>
      <c r="G5" s="1252"/>
      <c r="H5" s="1252"/>
      <c r="I5" s="1252"/>
      <c r="J5" s="1252"/>
      <c r="K5" s="1252"/>
      <c r="L5" s="1252"/>
      <c r="M5" s="1252"/>
      <c r="N5" s="1252"/>
      <c r="O5" s="1252"/>
    </row>
    <row r="6" spans="1:16" ht="15">
      <c r="A6" s="1260" t="str">
        <f>TCOS!F9</f>
        <v>WHEELING POWER COMPANY</v>
      </c>
      <c r="B6" s="1260"/>
      <c r="C6" s="1260"/>
      <c r="D6" s="1260"/>
      <c r="E6" s="1260"/>
      <c r="F6" s="1260"/>
      <c r="G6" s="1260"/>
      <c r="H6" s="1260"/>
      <c r="I6" s="1260"/>
      <c r="J6" s="1260"/>
      <c r="K6" s="1260"/>
      <c r="L6" s="1260"/>
      <c r="M6" s="1260"/>
      <c r="N6" s="1260"/>
      <c r="O6" s="1260"/>
    </row>
    <row r="8" spans="1:16" ht="20.25">
      <c r="A8" s="404"/>
      <c r="N8" s="10" t="str">
        <f>"Page "&amp;P8&amp;" of "</f>
        <v xml:space="preserve">Page 1 of </v>
      </c>
      <c r="O8" s="405">
        <f>COUNT(P$8:P$55962)</f>
        <v>3</v>
      </c>
      <c r="P8" s="10">
        <v>1</v>
      </c>
    </row>
    <row r="9" spans="1:16" ht="18">
      <c r="C9" s="13"/>
    </row>
    <row r="11" spans="1:16" ht="18">
      <c r="B11" s="406" t="s">
        <v>171</v>
      </c>
      <c r="C11" s="1296" t="str">
        <f>"Calculate Return and Income Taxes with "&amp;F17&amp;" basis point ROE increase for Projects Qualified for Regional Billing."</f>
        <v>Calculate Return and Income Taxes with  basis point ROE increase for Projects Qualified for Regional Billing.</v>
      </c>
      <c r="D11" s="1297"/>
      <c r="E11" s="1297"/>
      <c r="F11" s="1297"/>
      <c r="G11" s="1297"/>
      <c r="H11" s="1297"/>
    </row>
    <row r="12" spans="1:16" ht="18.75" customHeight="1">
      <c r="C12" s="1297"/>
      <c r="D12" s="1297"/>
      <c r="E12" s="1297"/>
      <c r="F12" s="1297"/>
      <c r="G12" s="1297"/>
      <c r="H12" s="1297"/>
    </row>
    <row r="13" spans="1:16" ht="15.75" customHeight="1">
      <c r="C13" s="12"/>
      <c r="D13" s="12"/>
      <c r="E13" s="12"/>
      <c r="F13" s="12"/>
      <c r="G13" s="12"/>
      <c r="H13" s="12"/>
    </row>
    <row r="14" spans="1:16" ht="15.75">
      <c r="C14" s="407" t="str">
        <f>"A.   Determine 'R' with hypothetical "&amp;F17&amp;" basis point increase in ROE for Identified Projects"</f>
        <v>A.   Determine 'R' with hypothetical  basis point increase in ROE for Identified Projects</v>
      </c>
    </row>
    <row r="16" spans="1:16">
      <c r="C16" s="408" t="str">
        <f>"   ROE w/o incentives  (TCOS, ln "&amp;TCOS!B273&amp;")"</f>
        <v xml:space="preserve">   ROE w/o incentives  (TCOS, ln 156)</v>
      </c>
      <c r="E16" s="409"/>
      <c r="F16" s="410">
        <f>TCOS!J273</f>
        <v>0.10349999999999999</v>
      </c>
      <c r="G16" s="409"/>
      <c r="H16" s="411"/>
      <c r="I16" s="411"/>
      <c r="J16" s="411"/>
      <c r="K16" s="411"/>
      <c r="L16" s="411"/>
      <c r="M16" s="411"/>
      <c r="N16" s="411"/>
      <c r="O16" s="411"/>
      <c r="P16" s="411"/>
    </row>
    <row r="17" spans="3:16">
      <c r="C17" s="408" t="s">
        <v>252</v>
      </c>
      <c r="E17" s="409"/>
      <c r="F17" s="619"/>
      <c r="G17" s="409"/>
      <c r="H17" s="411"/>
      <c r="I17" s="411"/>
      <c r="J17" s="411"/>
    </row>
    <row r="18" spans="3:16">
      <c r="C18" s="408" t="str">
        <f>"   ROE with additional "&amp;F17&amp;" basis point incentive"</f>
        <v xml:space="preserve">   ROE with additional  basis point incentive</v>
      </c>
      <c r="D18" s="409"/>
      <c r="E18" s="409"/>
      <c r="F18" s="412">
        <f>IF((F16+(F17/10000)&gt;0.1274),"ERROR",F16+(F17/10000))</f>
        <v>0.10349999999999999</v>
      </c>
      <c r="G18" s="413"/>
      <c r="H18" s="411"/>
      <c r="I18" s="411"/>
      <c r="J18" s="411"/>
    </row>
    <row r="19" spans="3:16">
      <c r="C19" s="408"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09"/>
      <c r="F19" s="414"/>
      <c r="G19" s="409"/>
      <c r="H19" s="411"/>
      <c r="I19" s="411"/>
      <c r="J19" s="411"/>
    </row>
    <row r="20" spans="3:16">
      <c r="C20" s="411"/>
      <c r="D20" s="415" t="s">
        <v>146</v>
      </c>
      <c r="E20" s="415" t="s">
        <v>145</v>
      </c>
      <c r="F20" s="416" t="s">
        <v>253</v>
      </c>
      <c r="G20" s="409"/>
      <c r="H20" s="411"/>
      <c r="I20" s="411"/>
      <c r="J20" s="411"/>
    </row>
    <row r="21" spans="3:16" ht="13.5" thickBot="1">
      <c r="C21" s="417" t="s">
        <v>257</v>
      </c>
      <c r="D21" s="418">
        <f>TCOS!H271</f>
        <v>0.49095237207876213</v>
      </c>
      <c r="E21" s="418">
        <f>TCOS!J271</f>
        <v>5.7081555171144889E-2</v>
      </c>
      <c r="F21" s="419">
        <f>E21*D21</f>
        <v>2.8024324913218313E-2</v>
      </c>
      <c r="G21" s="409"/>
      <c r="H21" s="411"/>
      <c r="I21" s="420"/>
      <c r="J21" s="420"/>
      <c r="K21" s="192"/>
      <c r="L21" s="192"/>
      <c r="M21" s="192"/>
      <c r="N21" s="192"/>
      <c r="O21" s="192"/>
    </row>
    <row r="22" spans="3:16">
      <c r="C22" s="417" t="s">
        <v>258</v>
      </c>
      <c r="D22" s="418">
        <f>TCOS!H272</f>
        <v>0</v>
      </c>
      <c r="E22" s="418">
        <f>TCOS!J272</f>
        <v>0</v>
      </c>
      <c r="F22" s="419">
        <f>E22*D22</f>
        <v>0</v>
      </c>
      <c r="G22" s="421"/>
      <c r="H22" s="421"/>
      <c r="I22" s="422"/>
      <c r="J22" s="422"/>
      <c r="K22" s="1290" t="s">
        <v>451</v>
      </c>
      <c r="L22" s="1291"/>
      <c r="M22" s="1291"/>
      <c r="N22" s="1291"/>
      <c r="O22" s="1292"/>
      <c r="P22" s="422"/>
    </row>
    <row r="23" spans="3:16">
      <c r="C23" s="417" t="s">
        <v>244</v>
      </c>
      <c r="D23" s="418">
        <f>TCOS!H273</f>
        <v>0.50904762792123781</v>
      </c>
      <c r="E23" s="418">
        <f>+F18</f>
        <v>0.10349999999999999</v>
      </c>
      <c r="F23" s="423">
        <f>E23*D23</f>
        <v>5.2686429489848113E-2</v>
      </c>
      <c r="G23" s="421"/>
      <c r="H23" s="421"/>
      <c r="I23" s="422"/>
      <c r="J23" s="422"/>
      <c r="K23" s="1293"/>
      <c r="L23" s="1294"/>
      <c r="M23" s="1294"/>
      <c r="N23" s="1294"/>
      <c r="O23" s="1295"/>
      <c r="P23" s="422"/>
    </row>
    <row r="24" spans="3:16">
      <c r="C24" s="408"/>
      <c r="D24"/>
      <c r="E24" s="424" t="s">
        <v>260</v>
      </c>
      <c r="F24" s="419">
        <f>SUM(F21:F23)</f>
        <v>8.0710754403066423E-2</v>
      </c>
      <c r="G24" s="421"/>
      <c r="H24" s="421"/>
      <c r="I24" s="422"/>
      <c r="J24" s="422"/>
      <c r="K24" s="425"/>
      <c r="L24" s="426"/>
      <c r="M24" s="427" t="s">
        <v>254</v>
      </c>
      <c r="N24" s="427" t="s">
        <v>255</v>
      </c>
      <c r="O24" s="428" t="s">
        <v>256</v>
      </c>
      <c r="P24" s="422"/>
    </row>
    <row r="25" spans="3:16">
      <c r="C25" s="3"/>
      <c r="D25" s="429"/>
      <c r="E25" s="429"/>
      <c r="F25" s="421"/>
      <c r="G25" s="421"/>
      <c r="H25" s="421"/>
      <c r="I25" s="421"/>
      <c r="J25" s="421"/>
      <c r="K25" s="430"/>
      <c r="L25" s="192"/>
      <c r="M25" s="192"/>
      <c r="N25" s="192"/>
      <c r="O25" s="431"/>
      <c r="P25" s="421"/>
    </row>
    <row r="26" spans="3:16" ht="16.5" thickBot="1">
      <c r="C26" s="407" t="str">
        <f>"B.   Determine Return using 'R' with hypothetical "&amp;F17&amp;" basis point ROE increase for Identified Projects."</f>
        <v>B.   Determine Return using 'R' with hypothetical  basis point ROE increase for Identified Projects.</v>
      </c>
      <c r="D26" s="429"/>
      <c r="E26" s="429"/>
      <c r="F26" s="421"/>
      <c r="G26" s="421"/>
      <c r="H26" s="409"/>
      <c r="I26" s="421"/>
      <c r="J26" s="421"/>
      <c r="K26" s="432" t="s">
        <v>261</v>
      </c>
      <c r="L26" s="433">
        <f>TCOS!L4</f>
        <v>2026</v>
      </c>
      <c r="M26" s="620">
        <f>N87+N177</f>
        <v>174962.07188592575</v>
      </c>
      <c r="N26" s="620">
        <f>N88+N178</f>
        <v>174962.07188592575</v>
      </c>
      <c r="O26" s="434">
        <f>+N26-M26</f>
        <v>0</v>
      </c>
      <c r="P26" s="421"/>
    </row>
    <row r="27" spans="3:16">
      <c r="C27" s="411"/>
      <c r="D27" s="429"/>
      <c r="E27" s="429"/>
      <c r="F27" s="421"/>
      <c r="G27" s="421"/>
      <c r="H27" s="421"/>
      <c r="I27" s="421"/>
      <c r="J27" s="421"/>
      <c r="K27" s="435"/>
      <c r="L27" s="435"/>
      <c r="M27" s="435"/>
      <c r="N27" s="435"/>
      <c r="O27" s="435"/>
      <c r="P27" s="421"/>
    </row>
    <row r="28" spans="3:16">
      <c r="C28" s="436" t="str">
        <f>"   Rate Base  (TCOS, ln "&amp;TCOS!B131&amp;")"</f>
        <v xml:space="preserve">   Rate Base  (TCOS, ln 68)</v>
      </c>
      <c r="D28" s="409"/>
      <c r="F28" s="437">
        <f>TCOS!L131</f>
        <v>128810747.86028461</v>
      </c>
      <c r="G28" s="421"/>
      <c r="H28" s="421"/>
      <c r="I28" s="421"/>
      <c r="J28" s="421"/>
      <c r="K28" s="435"/>
      <c r="L28" s="435"/>
      <c r="M28" s="435"/>
      <c r="N28" s="435"/>
      <c r="O28" s="438"/>
      <c r="P28" s="421"/>
    </row>
    <row r="29" spans="3:16">
      <c r="C29" s="411" t="s">
        <v>474</v>
      </c>
      <c r="D29" s="439"/>
      <c r="F29" s="419">
        <f>F24</f>
        <v>8.0710754403066423E-2</v>
      </c>
      <c r="G29" s="421"/>
      <c r="H29" s="421"/>
      <c r="I29" s="421"/>
      <c r="J29" s="421"/>
      <c r="K29" s="421"/>
      <c r="L29" s="421"/>
      <c r="M29" s="421"/>
      <c r="N29" s="421"/>
      <c r="O29" s="421"/>
      <c r="P29" s="421"/>
    </row>
    <row r="30" spans="3:16">
      <c r="C30" s="440" t="s">
        <v>262</v>
      </c>
      <c r="D30" s="440"/>
      <c r="F30" s="422">
        <f>F28*F29</f>
        <v>10396412.635026745</v>
      </c>
      <c r="G30" s="421"/>
      <c r="H30" s="421"/>
      <c r="I30" s="422"/>
      <c r="J30" s="422"/>
      <c r="K30" s="422"/>
      <c r="L30" s="422"/>
      <c r="M30" s="422"/>
      <c r="N30" s="422"/>
      <c r="O30" s="421"/>
      <c r="P30" s="422"/>
    </row>
    <row r="31" spans="3:16">
      <c r="C31" s="440"/>
      <c r="D31" s="411"/>
      <c r="E31" s="411"/>
      <c r="F31" s="421"/>
      <c r="G31" s="421"/>
      <c r="H31" s="421"/>
      <c r="I31" s="422"/>
      <c r="J31" s="422"/>
      <c r="K31" s="422"/>
      <c r="L31" s="422"/>
      <c r="M31" s="422"/>
      <c r="N31" s="422"/>
      <c r="O31" s="421"/>
      <c r="P31" s="422"/>
    </row>
    <row r="32" spans="3:16" ht="15.75">
      <c r="C32" s="407" t="str">
        <f>"C.   Determine Income Taxes using Return with hypothetical "&amp;F17&amp;" basis point ROE increase for Identified Projects."</f>
        <v>C.   Determine Income Taxes using Return with hypothetical  basis point ROE increase for Identified Projects.</v>
      </c>
      <c r="D32" s="441"/>
      <c r="E32" s="441"/>
      <c r="F32" s="442"/>
      <c r="G32" s="442"/>
      <c r="H32" s="442"/>
      <c r="I32" s="443"/>
      <c r="J32" s="443"/>
      <c r="K32" s="443"/>
      <c r="L32" s="443"/>
      <c r="M32" s="443"/>
      <c r="N32" s="443"/>
      <c r="O32" s="442"/>
      <c r="P32" s="443"/>
    </row>
    <row r="33" spans="2:16">
      <c r="C33" s="408"/>
      <c r="D33" s="411"/>
      <c r="E33" s="411"/>
      <c r="F33" s="421"/>
      <c r="G33" s="421"/>
      <c r="H33" s="421"/>
      <c r="I33" s="422"/>
      <c r="J33" s="422"/>
      <c r="K33" s="422"/>
      <c r="L33" s="422"/>
      <c r="M33" s="422"/>
      <c r="N33" s="422"/>
      <c r="O33" s="421"/>
      <c r="P33" s="422"/>
    </row>
    <row r="34" spans="2:16">
      <c r="C34" s="411" t="s">
        <v>263</v>
      </c>
      <c r="D34" s="424"/>
      <c r="F34" s="444">
        <f>F30</f>
        <v>10396412.635026745</v>
      </c>
      <c r="G34" s="421"/>
      <c r="H34" s="421"/>
      <c r="I34" s="421"/>
      <c r="J34" s="421"/>
      <c r="K34" s="421"/>
      <c r="L34" s="421"/>
      <c r="M34" s="421"/>
      <c r="N34" s="421"/>
      <c r="O34" s="421"/>
      <c r="P34" s="421"/>
    </row>
    <row r="35" spans="2:16">
      <c r="C35" s="436" t="str">
        <f>"   Effective Tax Rate  (TCOS, ln "&amp;TCOS!B198&amp;")"</f>
        <v xml:space="preserve">   Effective Tax Rate  (TCOS, ln 114)</v>
      </c>
      <c r="D35" s="76"/>
      <c r="F35" s="78">
        <f>TCOS!G198</f>
        <v>0.23068418946574765</v>
      </c>
      <c r="G35" s="3"/>
      <c r="H35" s="445"/>
      <c r="I35" s="3"/>
      <c r="J35" s="3"/>
      <c r="K35" s="3"/>
      <c r="L35" s="3"/>
      <c r="M35" s="3"/>
      <c r="N35" s="3"/>
      <c r="O35" s="3"/>
    </row>
    <row r="36" spans="2:16">
      <c r="C36" s="440" t="s">
        <v>264</v>
      </c>
      <c r="D36" s="76"/>
      <c r="F36" s="446">
        <f>F34*F35</f>
        <v>2398288.0220626025</v>
      </c>
      <c r="G36" s="3"/>
      <c r="H36" s="445"/>
      <c r="I36" s="3"/>
      <c r="J36" s="3"/>
      <c r="K36" s="3"/>
      <c r="L36" s="3"/>
      <c r="M36" s="3"/>
      <c r="N36" s="3"/>
      <c r="O36" s="3"/>
    </row>
    <row r="37" spans="2:16" ht="15">
      <c r="C37" s="408" t="s">
        <v>302</v>
      </c>
      <c r="D37" s="244"/>
      <c r="F37" s="421">
        <f>TCOS!L207</f>
        <v>0</v>
      </c>
      <c r="G37" s="244"/>
      <c r="H37" s="244"/>
      <c r="I37" s="244"/>
      <c r="J37" s="244"/>
      <c r="K37" s="244"/>
      <c r="L37" s="244"/>
      <c r="M37" s="244"/>
      <c r="N37" s="244"/>
      <c r="O37" s="258"/>
      <c r="P37" s="244"/>
    </row>
    <row r="38" spans="2:16" ht="15">
      <c r="C38" s="408" t="s">
        <v>532</v>
      </c>
      <c r="D38" s="244"/>
      <c r="F38" s="421">
        <f>TCOS!L208</f>
        <v>-168742.87949307778</v>
      </c>
      <c r="G38" s="244"/>
      <c r="H38" s="244"/>
      <c r="I38" s="244"/>
      <c r="J38" s="244"/>
      <c r="K38" s="244"/>
      <c r="L38" s="244"/>
      <c r="M38" s="244"/>
      <c r="N38" s="244"/>
      <c r="O38" s="258"/>
      <c r="P38" s="244"/>
    </row>
    <row r="39" spans="2:16" ht="15">
      <c r="C39" s="408" t="s">
        <v>533</v>
      </c>
      <c r="D39" s="244"/>
      <c r="F39" s="447">
        <f>TCOS!L209</f>
        <v>28931.255264909352</v>
      </c>
      <c r="G39" s="244"/>
      <c r="H39" s="244"/>
      <c r="I39" s="244"/>
      <c r="J39" s="244"/>
      <c r="K39" s="244"/>
      <c r="L39" s="244"/>
      <c r="M39" s="244"/>
      <c r="N39" s="244"/>
      <c r="O39" s="258"/>
      <c r="P39" s="244"/>
    </row>
    <row r="40" spans="2:16" ht="15">
      <c r="C40" s="440" t="s">
        <v>265</v>
      </c>
      <c r="D40" s="244"/>
      <c r="F40" s="421">
        <f>F36+F37+F38+F39</f>
        <v>2258476.3978344342</v>
      </c>
      <c r="G40" s="244"/>
      <c r="H40" s="244"/>
      <c r="I40" s="244"/>
      <c r="J40" s="244"/>
      <c r="K40" s="244"/>
      <c r="L40" s="244"/>
      <c r="M40" s="244"/>
      <c r="N40" s="244"/>
      <c r="O40" s="257"/>
      <c r="P40" s="244"/>
    </row>
    <row r="41" spans="2:16" ht="12.75" customHeight="1">
      <c r="C41" s="241"/>
      <c r="D41" s="244"/>
      <c r="E41" s="244"/>
      <c r="F41" s="244"/>
      <c r="G41" s="244"/>
      <c r="H41" s="244"/>
      <c r="I41" s="244"/>
      <c r="J41" s="244"/>
      <c r="K41" s="244"/>
      <c r="L41" s="244"/>
      <c r="M41" s="244"/>
      <c r="N41" s="244"/>
      <c r="O41" s="257"/>
      <c r="P41" s="244"/>
    </row>
    <row r="42" spans="2:16" ht="18.75">
      <c r="B42" s="406" t="s">
        <v>172</v>
      </c>
      <c r="C42" s="13" t="str">
        <f>"Calculate Net Plant Carrying Charge Rate (Fixed Charge Rate or FCR) with hypothetical "&amp;F17&amp;""</f>
        <v xml:space="preserve">Calculate Net Plant Carrying Charge Rate (Fixed Charge Rate or FCR) with hypothetical </v>
      </c>
      <c r="D42" s="244"/>
      <c r="E42" s="244"/>
      <c r="F42" s="244"/>
      <c r="G42" s="244"/>
      <c r="H42" s="244"/>
      <c r="I42" s="244"/>
      <c r="J42" s="244"/>
      <c r="K42" s="244"/>
      <c r="L42" s="244"/>
      <c r="M42" s="244"/>
      <c r="N42" s="244"/>
      <c r="O42" s="257"/>
      <c r="P42" s="244"/>
    </row>
    <row r="43" spans="2:16" ht="18.75" customHeight="1">
      <c r="C43" s="13" t="str">
        <f>"basis point ROE increase."</f>
        <v>basis point ROE increase.</v>
      </c>
      <c r="D43" s="244"/>
      <c r="E43" s="244"/>
      <c r="F43" s="244"/>
      <c r="G43" s="244"/>
      <c r="H43" s="244"/>
      <c r="I43" s="244"/>
      <c r="J43" s="244"/>
      <c r="K43" s="244"/>
      <c r="L43" s="244"/>
      <c r="M43" s="244"/>
      <c r="N43" s="244"/>
      <c r="O43" s="257"/>
      <c r="P43" s="244"/>
    </row>
    <row r="44" spans="2:16" ht="12.75" customHeight="1">
      <c r="C44" s="13"/>
      <c r="D44" s="244"/>
      <c r="E44" s="244"/>
      <c r="F44" s="244"/>
      <c r="G44" s="244"/>
      <c r="H44" s="244"/>
      <c r="I44" s="244"/>
      <c r="J44" s="244"/>
      <c r="K44" s="244"/>
      <c r="L44" s="244"/>
      <c r="M44" s="244"/>
      <c r="N44" s="244"/>
      <c r="O44" s="257"/>
      <c r="P44" s="244"/>
    </row>
    <row r="45" spans="2:16" ht="15.75">
      <c r="C45" s="407" t="s">
        <v>465</v>
      </c>
      <c r="D45" s="244"/>
      <c r="E45" s="244"/>
      <c r="F45" s="241"/>
      <c r="G45" s="244"/>
      <c r="H45" s="244"/>
      <c r="I45" s="244"/>
      <c r="J45" s="244"/>
      <c r="K45" s="244"/>
      <c r="L45" s="244"/>
      <c r="M45" s="244"/>
      <c r="N45" s="244"/>
      <c r="O45" s="257"/>
      <c r="P45" s="244"/>
    </row>
    <row r="46" spans="2:16">
      <c r="B46" s="3"/>
      <c r="C46" s="408"/>
      <c r="D46" s="409"/>
      <c r="E46" s="409"/>
      <c r="F46" s="409"/>
      <c r="G46" s="409"/>
      <c r="H46" s="409"/>
      <c r="I46" s="409"/>
      <c r="J46" s="409"/>
      <c r="K46" s="409"/>
      <c r="L46" s="409"/>
      <c r="M46" s="409"/>
      <c r="N46" s="409"/>
      <c r="O46" s="421"/>
      <c r="P46" s="409"/>
    </row>
    <row r="47" spans="2:16" ht="12.75" customHeight="1">
      <c r="B47" s="3"/>
      <c r="C47" s="436" t="str">
        <f>"   Annual Revenue Requirement  (TCOS, ln "&amp;TCOS!B13&amp;")"</f>
        <v xml:space="preserve">   Annual Revenue Requirement  (TCOS, ln 1)</v>
      </c>
      <c r="D47" s="409"/>
      <c r="E47" s="409"/>
      <c r="G47" s="421">
        <f>TCOS!L13</f>
        <v>27428150.406453256</v>
      </c>
      <c r="H47" s="409"/>
      <c r="I47" s="409"/>
      <c r="J47" s="409"/>
      <c r="K47" s="409"/>
      <c r="L47" s="409"/>
      <c r="M47" s="409"/>
      <c r="N47" s="409"/>
      <c r="O47" s="421"/>
      <c r="P47" s="409"/>
    </row>
    <row r="48" spans="2:16" ht="12.75" customHeight="1">
      <c r="B48" s="3"/>
      <c r="C48" s="436" t="str">
        <f>"   Lease Payments (TCOS, Ln "&amp;TCOS!B175&amp;")"</f>
        <v xml:space="preserve">   Lease Payments (TCOS, Ln 95)</v>
      </c>
      <c r="D48" s="409"/>
      <c r="E48" s="409"/>
      <c r="G48" s="421">
        <f>TCOS!L175</f>
        <v>0</v>
      </c>
      <c r="H48" s="409"/>
      <c r="I48" s="409"/>
      <c r="J48" s="409"/>
      <c r="K48" s="409"/>
      <c r="L48" s="409"/>
      <c r="M48" s="409"/>
      <c r="N48" s="409"/>
      <c r="O48" s="421"/>
      <c r="P48" s="409"/>
    </row>
    <row r="49" spans="2:16">
      <c r="B49" s="3"/>
      <c r="C49" s="436" t="str">
        <f>"   Return  (TCOS, ln "&amp;TCOS!B213&amp;")"</f>
        <v xml:space="preserve">   Return  (TCOS, ln 126)</v>
      </c>
      <c r="D49" s="409"/>
      <c r="E49" s="409"/>
      <c r="G49" s="422">
        <f>TCOS!L213</f>
        <v>10396412.635026745</v>
      </c>
      <c r="H49" s="408"/>
      <c r="I49" s="408"/>
      <c r="J49" s="408"/>
      <c r="K49" s="408"/>
      <c r="L49" s="408"/>
      <c r="M49" s="408"/>
      <c r="N49" s="408"/>
      <c r="O49" s="421"/>
      <c r="P49" s="408"/>
    </row>
    <row r="50" spans="2:16">
      <c r="B50" s="3"/>
      <c r="C50" s="436" t="str">
        <f>"   Income Taxes  (TCOS, ln "&amp;TCOS!B211&amp;")"</f>
        <v xml:space="preserve">   Income Taxes  (TCOS, ln 125)</v>
      </c>
      <c r="D50" s="409"/>
      <c r="E50" s="409"/>
      <c r="G50" s="448">
        <f>TCOS!L211</f>
        <v>2258476.3978344342</v>
      </c>
      <c r="H50" s="409"/>
      <c r="I50" s="449"/>
      <c r="J50" s="449"/>
      <c r="K50" s="449"/>
      <c r="L50" s="449"/>
      <c r="M50" s="449"/>
      <c r="N50" s="449"/>
      <c r="O50" s="409"/>
      <c r="P50" s="449"/>
    </row>
    <row r="51" spans="2:16">
      <c r="B51" s="3"/>
      <c r="C51" s="3" t="s">
        <v>590</v>
      </c>
      <c r="D51" s="409"/>
      <c r="E51" s="409"/>
      <c r="G51" s="422">
        <f>G47-G49-G50-G48</f>
        <v>14773261.373592075</v>
      </c>
      <c r="H51" s="409"/>
      <c r="I51" s="450"/>
      <c r="J51" s="450"/>
      <c r="K51" s="450"/>
      <c r="L51" s="450"/>
      <c r="M51" s="450"/>
      <c r="N51" s="450"/>
      <c r="O51" s="450"/>
      <c r="P51" s="450"/>
    </row>
    <row r="52" spans="2:16">
      <c r="B52" s="3"/>
      <c r="C52" s="408"/>
      <c r="D52" s="409"/>
      <c r="E52" s="409"/>
      <c r="F52" s="421"/>
      <c r="G52" s="451"/>
      <c r="H52" s="452"/>
      <c r="I52" s="452"/>
      <c r="J52" s="452"/>
      <c r="K52" s="452"/>
      <c r="L52" s="452"/>
      <c r="M52" s="452"/>
      <c r="N52" s="452"/>
      <c r="O52" s="452"/>
      <c r="P52" s="452"/>
    </row>
    <row r="53" spans="2:16" ht="15.75">
      <c r="B53" s="3"/>
      <c r="C53" s="407" t="str">
        <f>"B.   Determine Annual Revenue Requirement with hypothetical "&amp;F17&amp;" basis point increase in ROE."</f>
        <v>B.   Determine Annual Revenue Requirement with hypothetical  basis point increase in ROE.</v>
      </c>
      <c r="D53" s="411"/>
      <c r="E53" s="411"/>
      <c r="F53" s="421"/>
      <c r="G53" s="451"/>
      <c r="H53" s="452"/>
      <c r="I53" s="452"/>
      <c r="J53" s="452"/>
      <c r="K53" s="452"/>
      <c r="L53" s="452"/>
      <c r="M53" s="452"/>
      <c r="N53" s="452"/>
      <c r="O53" s="452"/>
      <c r="P53" s="452"/>
    </row>
    <row r="54" spans="2:16">
      <c r="B54" s="3"/>
      <c r="C54" s="408"/>
      <c r="D54" s="411"/>
      <c r="E54" s="411"/>
      <c r="F54" s="421"/>
      <c r="G54" s="451"/>
      <c r="H54" s="452"/>
      <c r="I54" s="452"/>
      <c r="J54" s="452"/>
      <c r="K54" s="452"/>
      <c r="L54" s="452"/>
      <c r="M54" s="452"/>
      <c r="N54" s="452"/>
      <c r="O54" s="452"/>
      <c r="P54" s="452"/>
    </row>
    <row r="55" spans="2:16">
      <c r="B55" s="3"/>
      <c r="C55" s="408" t="str">
        <f>C51</f>
        <v xml:space="preserve">   Annual Revenue Requirement, Less Lease Payments, Return and Taxes</v>
      </c>
      <c r="D55" s="411"/>
      <c r="E55" s="411"/>
      <c r="G55" s="421">
        <f>G51</f>
        <v>14773261.373592075</v>
      </c>
      <c r="H55" s="409"/>
      <c r="I55" s="409"/>
      <c r="J55" s="409"/>
      <c r="K55" s="409"/>
      <c r="L55" s="409"/>
      <c r="M55" s="409"/>
      <c r="N55" s="409"/>
      <c r="O55" s="453"/>
      <c r="P55" s="409"/>
    </row>
    <row r="56" spans="2:16">
      <c r="B56" s="3"/>
      <c r="C56" s="411" t="s">
        <v>299</v>
      </c>
      <c r="D56" s="76"/>
      <c r="E56" s="3"/>
      <c r="G56" s="446">
        <f>F30</f>
        <v>10396412.635026745</v>
      </c>
      <c r="H56" s="454"/>
      <c r="I56" s="3"/>
      <c r="J56" s="3"/>
      <c r="K56" s="3"/>
      <c r="L56" s="3"/>
      <c r="M56" s="3"/>
      <c r="N56" s="3"/>
      <c r="O56" s="3"/>
    </row>
    <row r="57" spans="2:16" ht="12.75" customHeight="1">
      <c r="B57" s="3"/>
      <c r="C57" s="408" t="s">
        <v>266</v>
      </c>
      <c r="D57" s="409"/>
      <c r="E57" s="409"/>
      <c r="G57" s="448">
        <f>F40</f>
        <v>2258476.3978344342</v>
      </c>
      <c r="H57" s="445"/>
      <c r="I57" s="3"/>
      <c r="J57" s="3"/>
      <c r="K57" s="3"/>
      <c r="L57" s="3"/>
      <c r="M57" s="3"/>
      <c r="N57" s="3"/>
      <c r="O57" s="3"/>
    </row>
    <row r="58" spans="2:16">
      <c r="B58" s="3"/>
      <c r="C58" s="3" t="str">
        <f>"   Annual Revenue Requirement, with "&amp;F17&amp;" Basis Point ROE increase"</f>
        <v xml:space="preserve">   Annual Revenue Requirement, with  Basis Point ROE increase</v>
      </c>
      <c r="D58" s="76"/>
      <c r="E58" s="3"/>
      <c r="G58" s="446">
        <f>SUM(G55:G57)</f>
        <v>27428150.406453256</v>
      </c>
      <c r="H58" s="445"/>
      <c r="I58" s="3"/>
      <c r="J58" s="3"/>
      <c r="K58" s="3"/>
      <c r="L58" s="3"/>
      <c r="M58" s="3"/>
      <c r="N58" s="3"/>
      <c r="O58" s="3"/>
    </row>
    <row r="59" spans="2:16">
      <c r="B59" s="3"/>
      <c r="C59" s="436" t="str">
        <f>"   Depreciation  (TCOS, ln "&amp;TCOS!B181&amp;")"</f>
        <v xml:space="preserve">   Depreciation  (TCOS, ln 100)</v>
      </c>
      <c r="D59" s="76"/>
      <c r="E59" s="3"/>
      <c r="G59" s="455">
        <f>TCOS!L181</f>
        <v>3525083.3208524385</v>
      </c>
      <c r="H59" s="445"/>
      <c r="I59" s="3"/>
      <c r="J59" s="3"/>
      <c r="K59" s="3"/>
      <c r="L59" s="3"/>
      <c r="M59" s="3"/>
      <c r="N59" s="3"/>
      <c r="O59" s="3"/>
    </row>
    <row r="60" spans="2:16">
      <c r="B60" s="3"/>
      <c r="C60" s="3" t="str">
        <f>"   Annual Rev. Req, w/"&amp;F17&amp;" Basis Point ROE increase, less Depreciation"</f>
        <v xml:space="preserve">   Annual Rev. Req, w/ Basis Point ROE increase, less Depreciation</v>
      </c>
      <c r="D60" s="76"/>
      <c r="E60" s="3"/>
      <c r="G60" s="446">
        <f>G58-G59</f>
        <v>23903067.085600816</v>
      </c>
      <c r="H60" s="445"/>
      <c r="I60" s="3"/>
      <c r="J60" s="3"/>
      <c r="K60" s="3"/>
      <c r="L60" s="3"/>
      <c r="M60" s="3"/>
      <c r="N60" s="3"/>
      <c r="O60" s="3"/>
    </row>
    <row r="61" spans="2:16">
      <c r="B61" s="3"/>
      <c r="C61" s="3"/>
      <c r="D61" s="76"/>
      <c r="E61" s="3"/>
      <c r="F61" s="3"/>
      <c r="G61" s="3"/>
      <c r="H61" s="445"/>
      <c r="I61" s="3"/>
      <c r="J61" s="3"/>
      <c r="K61" s="3"/>
      <c r="L61" s="3"/>
      <c r="M61" s="3"/>
      <c r="N61" s="3"/>
      <c r="O61" s="3"/>
    </row>
    <row r="62" spans="2:16" ht="15.75">
      <c r="B62" s="3"/>
      <c r="C62" s="407" t="str">
        <f>"C.   Determine FCR with hypothetical "&amp;F17&amp;" basis point ROE increase."</f>
        <v>C.   Determine FCR with hypothetical  basis point ROE increase.</v>
      </c>
      <c r="D62" s="76"/>
      <c r="E62" s="3"/>
      <c r="F62" s="3"/>
      <c r="G62" s="3"/>
      <c r="H62" s="445"/>
      <c r="I62" s="3"/>
      <c r="J62" s="3"/>
      <c r="K62" s="3"/>
      <c r="L62" s="3"/>
      <c r="M62" s="3"/>
      <c r="N62" s="3"/>
      <c r="O62" s="3"/>
    </row>
    <row r="63" spans="2:16">
      <c r="B63" s="3"/>
      <c r="C63" s="3"/>
      <c r="D63" s="76"/>
      <c r="E63" s="3"/>
      <c r="F63" s="3"/>
      <c r="G63" s="3"/>
      <c r="H63" s="445"/>
      <c r="I63" s="3"/>
      <c r="J63" s="3"/>
      <c r="K63" s="3"/>
      <c r="L63" s="3"/>
      <c r="M63" s="3"/>
      <c r="N63" s="3"/>
      <c r="O63" s="3"/>
    </row>
    <row r="64" spans="2:16">
      <c r="B64" s="3"/>
      <c r="C64" s="436" t="str">
        <f>"   Net Transmission Plant  (TCOS, ln "&amp;TCOS!B95&amp;")"</f>
        <v xml:space="preserve">   Net Transmission Plant  (TCOS, ln 42)</v>
      </c>
      <c r="D64" s="76"/>
      <c r="E64" s="3"/>
      <c r="G64" s="446">
        <f>TCOS!L95</f>
        <v>143151033.84727526</v>
      </c>
      <c r="H64" s="456"/>
      <c r="I64" s="3"/>
      <c r="J64" s="3"/>
      <c r="K64" s="3"/>
      <c r="L64" s="3"/>
      <c r="M64" s="3"/>
      <c r="N64" s="3"/>
      <c r="O64" s="3"/>
    </row>
    <row r="65" spans="2:15">
      <c r="B65" s="3"/>
      <c r="C65" s="3" t="str">
        <f>"   Annual Revenue Requirement, with "&amp;F17&amp;" Basis Point ROE increase"</f>
        <v xml:space="preserve">   Annual Revenue Requirement, with  Basis Point ROE increase</v>
      </c>
      <c r="D65" s="76"/>
      <c r="E65" s="3"/>
      <c r="G65" s="446">
        <f>G58</f>
        <v>27428150.406453256</v>
      </c>
      <c r="H65" s="445"/>
      <c r="I65" s="3"/>
      <c r="J65" s="3"/>
      <c r="K65" s="3"/>
      <c r="L65" s="3"/>
      <c r="M65" s="3"/>
      <c r="N65" s="3"/>
      <c r="O65" s="3"/>
    </row>
    <row r="66" spans="2:15">
      <c r="B66" s="3"/>
      <c r="C66" s="3" t="str">
        <f>"   FCR with "&amp;F17&amp;" Basis Point increase in ROE"</f>
        <v xml:space="preserve">   FCR with  Basis Point increase in ROE</v>
      </c>
      <c r="D66" s="76"/>
      <c r="E66" s="3"/>
      <c r="G66" s="78">
        <f>G65/G64</f>
        <v>0.19160288032369893</v>
      </c>
      <c r="H66" s="445"/>
      <c r="I66" s="3"/>
      <c r="J66" s="3"/>
      <c r="K66" s="3"/>
      <c r="L66" s="3"/>
      <c r="M66" s="3"/>
      <c r="N66" s="3"/>
      <c r="O66" s="3"/>
    </row>
    <row r="67" spans="2:15">
      <c r="B67" s="3"/>
      <c r="C67" s="67"/>
      <c r="D67" s="76"/>
      <c r="E67" s="3"/>
      <c r="G67" s="3"/>
      <c r="H67" s="445"/>
      <c r="I67" s="3"/>
      <c r="J67" s="3"/>
      <c r="K67" s="3"/>
      <c r="L67" s="3"/>
      <c r="M67" s="3"/>
      <c r="N67" s="3"/>
      <c r="O67" s="3"/>
    </row>
    <row r="68" spans="2:15">
      <c r="B68" s="3"/>
      <c r="C68" s="3" t="str">
        <f>"   Annual Rev. Req, w / "&amp;F17&amp;" Basis Point ROE increase, less Dep."</f>
        <v xml:space="preserve">   Annual Rev. Req, w /  Basis Point ROE increase, less Dep.</v>
      </c>
      <c r="D68" s="76"/>
      <c r="E68" s="3"/>
      <c r="G68" s="446">
        <f>G60</f>
        <v>23903067.085600816</v>
      </c>
      <c r="H68" s="445"/>
      <c r="I68" s="3"/>
      <c r="J68" s="3"/>
      <c r="K68" s="3"/>
      <c r="L68" s="3"/>
      <c r="M68" s="3"/>
      <c r="N68" s="3"/>
      <c r="O68" s="3"/>
    </row>
    <row r="69" spans="2:15">
      <c r="B69" s="3"/>
      <c r="C69" s="3" t="str">
        <f>"   FCR with "&amp;F17&amp;" Basis Point ROE increase, less Depreciation"</f>
        <v xml:space="preserve">   FCR with  Basis Point ROE increase, less Depreciation</v>
      </c>
      <c r="D69" s="76"/>
      <c r="E69" s="3"/>
      <c r="G69" s="78">
        <f>G68/G64</f>
        <v>0.16697795638068869</v>
      </c>
      <c r="H69" s="445"/>
      <c r="I69" s="3"/>
      <c r="J69" s="3"/>
      <c r="K69" s="3"/>
      <c r="L69" s="3"/>
      <c r="M69" s="3"/>
      <c r="N69" s="3"/>
      <c r="O69" s="3"/>
    </row>
    <row r="70" spans="2:15">
      <c r="B70" s="3"/>
      <c r="C70" s="436" t="str">
        <f>"   FCR less Depreciation  (TCOS, ln "&amp;TCOS!B34&amp;")"</f>
        <v xml:space="preserve">   FCR less Depreciation  (TCOS, ln 10)</v>
      </c>
      <c r="D70" s="76"/>
      <c r="E70" s="3"/>
      <c r="G70" s="457">
        <f>TCOS!L34</f>
        <v>0.16697795638068869</v>
      </c>
      <c r="H70" s="445"/>
      <c r="I70" s="3"/>
      <c r="J70" s="3"/>
      <c r="K70" s="3"/>
      <c r="L70" s="3"/>
      <c r="M70" s="3"/>
      <c r="N70" s="3"/>
      <c r="O70" s="3"/>
    </row>
    <row r="71" spans="2:15">
      <c r="B71" s="3"/>
      <c r="C71" s="3" t="str">
        <f>"   Incremental FCR with "&amp;F17&amp;" Basis Point ROE increase, less Depreciation"</f>
        <v xml:space="preserve">   Incremental FCR with  Basis Point ROE increase, less Depreciation</v>
      </c>
      <c r="D71" s="76"/>
      <c r="E71" s="3"/>
      <c r="G71" s="78">
        <f>G69-G70</f>
        <v>0</v>
      </c>
      <c r="H71" s="445"/>
      <c r="I71" s="3"/>
      <c r="J71" s="3"/>
      <c r="K71" s="3"/>
      <c r="L71" s="3"/>
      <c r="M71" s="3"/>
      <c r="N71" s="3"/>
      <c r="O71" s="3"/>
    </row>
    <row r="72" spans="2:15">
      <c r="B72" s="3"/>
      <c r="C72" s="3"/>
      <c r="D72" s="76"/>
      <c r="E72" s="3"/>
      <c r="F72" s="78"/>
      <c r="G72" s="3"/>
      <c r="H72" s="445"/>
      <c r="I72" s="3"/>
      <c r="J72" s="3"/>
      <c r="K72" s="3"/>
      <c r="L72" s="3"/>
      <c r="M72" s="3"/>
      <c r="N72" s="3"/>
      <c r="O72" s="3"/>
    </row>
    <row r="73" spans="2:15" ht="18.75">
      <c r="B73" s="406" t="s">
        <v>173</v>
      </c>
      <c r="C73" s="13" t="s">
        <v>267</v>
      </c>
      <c r="D73" s="76"/>
      <c r="E73" s="3"/>
      <c r="F73" s="78"/>
      <c r="G73" s="3"/>
      <c r="H73" s="445"/>
      <c r="I73" s="3"/>
      <c r="J73" s="3"/>
      <c r="K73" s="3"/>
      <c r="L73" s="3"/>
      <c r="M73" s="3"/>
      <c r="N73" s="3"/>
      <c r="O73" s="3"/>
    </row>
    <row r="74" spans="2:15">
      <c r="B74" s="3"/>
      <c r="C74" s="3"/>
      <c r="D74" s="76"/>
      <c r="E74" s="3"/>
      <c r="F74" s="78"/>
      <c r="G74" s="3"/>
      <c r="H74" s="445"/>
      <c r="I74" s="3"/>
      <c r="J74" s="3"/>
      <c r="K74" s="3"/>
      <c r="L74" s="3"/>
      <c r="M74" s="3"/>
      <c r="N74" s="3"/>
      <c r="O74" s="3"/>
    </row>
    <row r="75" spans="2:15">
      <c r="B75" s="3"/>
      <c r="C75" s="3" t="str">
        <f>+"Average Transmission Plant Balance for "&amp;TCOS!L4&amp;" (TCOS, ln "&amp;TCOS!B68&amp;")"</f>
        <v>Average Transmission Plant Balance for 2026 (TCOS, ln 21)</v>
      </c>
      <c r="D75" s="76"/>
      <c r="G75" s="445">
        <f>TCOS!L68</f>
        <v>183040865.17127377</v>
      </c>
      <c r="I75" s="3"/>
      <c r="J75" s="3"/>
      <c r="K75" s="460"/>
      <c r="L75" s="3"/>
      <c r="M75" s="3"/>
      <c r="N75" s="3"/>
      <c r="O75" s="3"/>
    </row>
    <row r="76" spans="2:15">
      <c r="B76" s="3"/>
      <c r="C76" s="458" t="str">
        <f>"Annual Depreciation and Amortization Expense  (TCOS, ln "&amp;TCOS!B181&amp;")"</f>
        <v>Annual Depreciation and Amortization Expense  (TCOS, ln 100)</v>
      </c>
      <c r="D76" s="76"/>
      <c r="E76" s="3"/>
      <c r="G76" s="459">
        <f>TCOS!L181</f>
        <v>3525083.3208524385</v>
      </c>
      <c r="H76" s="445"/>
      <c r="I76" s="3"/>
      <c r="J76" s="3"/>
      <c r="K76" s="3"/>
      <c r="L76" s="3"/>
      <c r="M76" s="3"/>
      <c r="N76" s="3"/>
      <c r="O76" s="3"/>
    </row>
    <row r="77" spans="2:15">
      <c r="B77" s="3"/>
      <c r="C77" s="3" t="s">
        <v>268</v>
      </c>
      <c r="D77" s="76"/>
      <c r="E77" s="3"/>
      <c r="G77" s="78">
        <f>+G76/G75</f>
        <v>1.9258449841536594E-2</v>
      </c>
      <c r="H77" s="461"/>
      <c r="I77" s="3"/>
      <c r="J77" s="3"/>
      <c r="K77" s="3"/>
      <c r="L77" s="3"/>
      <c r="M77" s="3"/>
      <c r="N77" s="3"/>
      <c r="O77" s="3"/>
    </row>
    <row r="78" spans="2:15">
      <c r="B78" s="3"/>
      <c r="C78" s="3" t="s">
        <v>269</v>
      </c>
      <c r="D78" s="76"/>
      <c r="E78" s="3"/>
      <c r="G78" s="461">
        <f>1/G77</f>
        <v>51.925259209762643</v>
      </c>
      <c r="H78" s="445"/>
      <c r="I78" s="3"/>
      <c r="J78" s="3"/>
      <c r="K78" s="3"/>
      <c r="L78" s="3"/>
      <c r="M78" s="3"/>
      <c r="N78" s="3"/>
      <c r="O78" s="3"/>
    </row>
    <row r="79" spans="2:15">
      <c r="B79" s="3"/>
      <c r="C79" s="3" t="s">
        <v>270</v>
      </c>
      <c r="D79" s="76"/>
      <c r="E79" s="3"/>
      <c r="G79" s="462">
        <f>ROUND(G78,0)</f>
        <v>52</v>
      </c>
      <c r="H79" s="445"/>
      <c r="I79" s="3"/>
      <c r="J79" s="3"/>
      <c r="K79" s="3"/>
      <c r="L79" s="3"/>
      <c r="M79" s="3"/>
      <c r="N79" s="3"/>
      <c r="O79" s="3"/>
    </row>
    <row r="80" spans="2:15">
      <c r="B80" s="3"/>
      <c r="C80" s="3"/>
      <c r="D80" s="76"/>
      <c r="E80" s="3"/>
      <c r="G80" s="462"/>
      <c r="H80" s="445"/>
      <c r="I80" s="3"/>
      <c r="J80" s="3"/>
      <c r="K80" s="3"/>
      <c r="L80" s="3"/>
      <c r="M80" s="3"/>
      <c r="N80" s="3"/>
      <c r="O80" s="3"/>
    </row>
    <row r="81" spans="1:16" ht="20.25">
      <c r="A81" s="404" t="s">
        <v>881</v>
      </c>
      <c r="B81" s="3"/>
      <c r="C81" s="3"/>
      <c r="D81" s="76"/>
      <c r="E81" s="3"/>
      <c r="F81" s="78"/>
      <c r="G81" s="3"/>
      <c r="H81" s="914"/>
      <c r="K81" s="10"/>
      <c r="L81" s="10"/>
      <c r="M81" s="10"/>
      <c r="N81" s="10" t="str">
        <f>"Page "&amp;SUM(P$6:P81)&amp;" of "</f>
        <v xml:space="preserve">Page 2 of </v>
      </c>
      <c r="O81" s="405">
        <f>COUNT(P$6:P$57707)</f>
        <v>3</v>
      </c>
      <c r="P81" s="464">
        <v>1</v>
      </c>
    </row>
    <row r="82" spans="1:16">
      <c r="B82" s="3"/>
      <c r="C82" s="3"/>
      <c r="D82" s="76"/>
      <c r="E82" s="3"/>
      <c r="F82" s="3"/>
      <c r="G82" s="3"/>
      <c r="H82" s="914"/>
      <c r="I82" s="3"/>
      <c r="J82" s="3"/>
      <c r="K82" s="3"/>
      <c r="L82" s="3"/>
      <c r="M82" s="3"/>
      <c r="N82" s="3"/>
      <c r="O82" s="3"/>
    </row>
    <row r="83" spans="1:16" ht="18">
      <c r="B83" s="406" t="s">
        <v>174</v>
      </c>
      <c r="C83" s="465" t="s">
        <v>290</v>
      </c>
      <c r="D83" s="76"/>
      <c r="E83" s="3"/>
      <c r="F83" s="3"/>
      <c r="G83" s="3"/>
      <c r="H83" s="914"/>
      <c r="I83" s="914"/>
      <c r="J83" s="915"/>
      <c r="K83" s="914"/>
      <c r="L83" s="914"/>
      <c r="M83" s="914"/>
      <c r="N83" s="914"/>
      <c r="O83" s="3"/>
    </row>
    <row r="84" spans="1:16" ht="18.75">
      <c r="B84" s="406"/>
      <c r="C84" s="13"/>
      <c r="D84" s="76"/>
      <c r="E84" s="3"/>
      <c r="F84" s="3"/>
      <c r="G84" s="3"/>
      <c r="H84" s="914"/>
      <c r="I84" s="914"/>
      <c r="J84" s="915"/>
      <c r="K84" s="914"/>
      <c r="L84" s="914"/>
      <c r="M84" s="914"/>
      <c r="N84" s="914"/>
      <c r="O84" s="3"/>
    </row>
    <row r="85" spans="1:16" ht="18.75">
      <c r="B85" s="406"/>
      <c r="C85" s="13" t="s">
        <v>291</v>
      </c>
      <c r="D85" s="76"/>
      <c r="E85" s="3"/>
      <c r="F85" s="3"/>
      <c r="G85" s="3"/>
      <c r="H85" s="914"/>
      <c r="I85" s="914"/>
      <c r="J85" s="915"/>
      <c r="K85" s="914"/>
      <c r="L85" s="914"/>
      <c r="M85" s="914"/>
      <c r="N85" s="914"/>
      <c r="O85" s="3"/>
    </row>
    <row r="86" spans="1:16" ht="15.75" thickBot="1">
      <c r="C86" s="241"/>
      <c r="D86" s="76"/>
      <c r="E86" s="3"/>
      <c r="F86" s="3"/>
      <c r="G86" s="3"/>
      <c r="H86" s="914"/>
      <c r="I86" s="914"/>
      <c r="J86" s="915"/>
      <c r="K86" s="914"/>
      <c r="L86" s="914"/>
      <c r="M86" s="914"/>
      <c r="N86" s="914"/>
      <c r="O86" s="3"/>
    </row>
    <row r="87" spans="1:16" ht="15.75">
      <c r="C87" s="407" t="s">
        <v>292</v>
      </c>
      <c r="D87" s="76"/>
      <c r="E87" s="3"/>
      <c r="F87" s="3"/>
      <c r="G87" s="916"/>
      <c r="H87" s="3" t="s">
        <v>271</v>
      </c>
      <c r="I87" s="3"/>
      <c r="J87" s="3"/>
      <c r="K87" s="466" t="s">
        <v>296</v>
      </c>
      <c r="L87" s="467"/>
      <c r="M87" s="468"/>
      <c r="N87" s="917">
        <f>VLOOKUP(I93,C100:O159,5)</f>
        <v>162319.70524633347</v>
      </c>
      <c r="O87" s="3"/>
    </row>
    <row r="88" spans="1:16" ht="15.75">
      <c r="C88" s="407"/>
      <c r="D88" s="76"/>
      <c r="E88" s="3"/>
      <c r="F88" s="3"/>
      <c r="G88" s="3"/>
      <c r="H88" s="918"/>
      <c r="I88" s="918"/>
      <c r="J88" s="919"/>
      <c r="K88" s="471" t="s">
        <v>297</v>
      </c>
      <c r="L88" s="920"/>
      <c r="M88" s="3"/>
      <c r="N88" s="921">
        <f>VLOOKUP(I93,C100:O159,6)</f>
        <v>162319.70524633347</v>
      </c>
      <c r="O88" s="3"/>
    </row>
    <row r="89" spans="1:16" ht="13.5" thickBot="1">
      <c r="C89" s="472" t="s">
        <v>293</v>
      </c>
      <c r="D89" s="1300" t="s">
        <v>888</v>
      </c>
      <c r="E89" s="1300"/>
      <c r="F89" s="1300"/>
      <c r="G89" s="1300"/>
      <c r="H89" s="914"/>
      <c r="I89" s="914"/>
      <c r="J89" s="915"/>
      <c r="K89" s="922" t="s">
        <v>450</v>
      </c>
      <c r="L89" s="923"/>
      <c r="M89" s="923"/>
      <c r="N89" s="924">
        <f>+N88-N87</f>
        <v>0</v>
      </c>
      <c r="O89" s="3"/>
    </row>
    <row r="90" spans="1:16">
      <c r="C90" s="474"/>
      <c r="D90" s="475"/>
      <c r="E90" s="462"/>
      <c r="F90" s="462"/>
      <c r="G90" s="476"/>
      <c r="H90" s="914"/>
      <c r="I90" s="914"/>
      <c r="J90" s="915"/>
      <c r="K90" s="914"/>
      <c r="L90" s="914"/>
      <c r="M90" s="914"/>
      <c r="N90" s="914"/>
      <c r="O90" s="3"/>
    </row>
    <row r="91" spans="1:16" ht="13.5" thickBot="1">
      <c r="C91" s="474"/>
      <c r="D91" s="925"/>
      <c r="E91" s="476"/>
      <c r="F91" s="476"/>
      <c r="G91" s="476"/>
      <c r="H91" s="476"/>
      <c r="I91" s="476"/>
      <c r="J91" s="476"/>
      <c r="K91" s="476"/>
      <c r="L91" s="476"/>
      <c r="M91" s="476"/>
      <c r="N91" s="476"/>
      <c r="O91" s="3"/>
    </row>
    <row r="92" spans="1:16" ht="13.5" thickBot="1">
      <c r="C92" s="477" t="s">
        <v>294</v>
      </c>
      <c r="D92" s="478"/>
      <c r="E92" s="478"/>
      <c r="F92" s="478"/>
      <c r="G92" s="478"/>
      <c r="H92" s="478"/>
      <c r="I92" s="479"/>
      <c r="K92" s="3"/>
      <c r="L92" s="3"/>
      <c r="M92" s="3"/>
      <c r="N92" s="3"/>
      <c r="O92" s="3"/>
    </row>
    <row r="93" spans="1:16" ht="15">
      <c r="C93" s="480" t="s">
        <v>272</v>
      </c>
      <c r="D93" s="926">
        <v>1115334.06</v>
      </c>
      <c r="E93" s="3" t="s">
        <v>273</v>
      </c>
      <c r="G93" s="76"/>
      <c r="H93" s="76"/>
      <c r="I93" s="481">
        <f>$L$26</f>
        <v>2026</v>
      </c>
      <c r="J93" s="136"/>
      <c r="K93" s="1298" t="s">
        <v>459</v>
      </c>
      <c r="L93" s="1298"/>
      <c r="M93" s="1298"/>
      <c r="N93" s="1298"/>
      <c r="O93" s="1298"/>
    </row>
    <row r="94" spans="1:16">
      <c r="C94" s="480" t="s">
        <v>275</v>
      </c>
      <c r="D94" s="632">
        <v>2013</v>
      </c>
      <c r="E94" s="480" t="s">
        <v>276</v>
      </c>
      <c r="F94" s="76"/>
      <c r="H94"/>
      <c r="I94" s="927">
        <f>IF(G87="",0,$F$15)</f>
        <v>0</v>
      </c>
      <c r="J94" s="482"/>
      <c r="K94" s="915" t="s">
        <v>459</v>
      </c>
    </row>
    <row r="95" spans="1:16">
      <c r="C95" s="480" t="s">
        <v>277</v>
      </c>
      <c r="D95" s="926">
        <v>10</v>
      </c>
      <c r="E95" s="480" t="s">
        <v>278</v>
      </c>
      <c r="F95" s="76"/>
      <c r="H95"/>
      <c r="I95" s="483">
        <f>$G$70</f>
        <v>0.16697795638068869</v>
      </c>
      <c r="J95" s="78"/>
      <c r="K95" t="str">
        <f>"          INPUT PROJECTED ARR (WITH &amp; WITHOUT INCENTIVES) FROM EACH PRIOR YEAR"</f>
        <v xml:space="preserve">          INPUT PROJECTED ARR (WITH &amp; WITHOUT INCENTIVES) FROM EACH PRIOR YEAR</v>
      </c>
    </row>
    <row r="96" spans="1:16">
      <c r="C96" s="480" t="s">
        <v>279</v>
      </c>
      <c r="D96" s="484">
        <f>G$79</f>
        <v>52</v>
      </c>
      <c r="E96" s="480" t="s">
        <v>280</v>
      </c>
      <c r="F96" s="76"/>
      <c r="H96"/>
      <c r="I96" s="483">
        <f>IF(G87="",I95,$G$67)</f>
        <v>0.16697795638068869</v>
      </c>
      <c r="J96" s="78"/>
      <c r="K96" t="s">
        <v>357</v>
      </c>
    </row>
    <row r="97" spans="1:15" ht="13.5" thickBot="1">
      <c r="C97" s="480" t="s">
        <v>281</v>
      </c>
      <c r="D97" s="624" t="s">
        <v>882</v>
      </c>
      <c r="E97" s="485" t="s">
        <v>282</v>
      </c>
      <c r="F97" s="486"/>
      <c r="G97" s="487"/>
      <c r="H97" s="487"/>
      <c r="I97" s="924">
        <f>IF(D93=0,0,D93/D96)</f>
        <v>21448.731923076924</v>
      </c>
      <c r="J97" s="915"/>
      <c r="K97" s="915" t="s">
        <v>363</v>
      </c>
      <c r="L97" s="915"/>
      <c r="M97" s="915"/>
      <c r="N97" s="915"/>
      <c r="O97" s="3"/>
    </row>
    <row r="98" spans="1:15" ht="51">
      <c r="A98" s="12"/>
      <c r="B98" s="12"/>
      <c r="C98" s="488" t="s">
        <v>272</v>
      </c>
      <c r="D98" s="928" t="s">
        <v>283</v>
      </c>
      <c r="E98" s="929" t="s">
        <v>284</v>
      </c>
      <c r="F98" s="928" t="s">
        <v>285</v>
      </c>
      <c r="G98" s="929" t="s">
        <v>356</v>
      </c>
      <c r="H98" s="930" t="s">
        <v>356</v>
      </c>
      <c r="I98" s="488" t="s">
        <v>295</v>
      </c>
      <c r="J98" s="492"/>
      <c r="K98" s="929" t="s">
        <v>365</v>
      </c>
      <c r="L98" s="931"/>
      <c r="M98" s="929" t="s">
        <v>365</v>
      </c>
      <c r="N98" s="931"/>
      <c r="O98" s="931"/>
    </row>
    <row r="99" spans="1:15" ht="13.5" thickBot="1">
      <c r="C99" s="493" t="s">
        <v>177</v>
      </c>
      <c r="D99" s="494" t="s">
        <v>178</v>
      </c>
      <c r="E99" s="493" t="s">
        <v>37</v>
      </c>
      <c r="F99" s="494" t="s">
        <v>178</v>
      </c>
      <c r="G99" s="932" t="s">
        <v>298</v>
      </c>
      <c r="H99" s="933" t="s">
        <v>300</v>
      </c>
      <c r="I99" s="493" t="s">
        <v>389</v>
      </c>
      <c r="J99" s="497"/>
      <c r="K99" s="932" t="s">
        <v>287</v>
      </c>
      <c r="L99" s="934"/>
      <c r="M99" s="932" t="s">
        <v>300</v>
      </c>
      <c r="N99" s="934"/>
      <c r="O99" s="934"/>
    </row>
    <row r="100" spans="1:15">
      <c r="C100" s="498">
        <f>IF(D94= "","-",D94)</f>
        <v>2013</v>
      </c>
      <c r="D100" s="462">
        <f>+D93</f>
        <v>1115334.06</v>
      </c>
      <c r="E100" s="935">
        <f>+I97/12*(12-D95)</f>
        <v>3574.7886538461539</v>
      </c>
      <c r="F100" s="462">
        <f t="shared" ref="F100:F159" si="0">+D100-E100</f>
        <v>1111759.2713461539</v>
      </c>
      <c r="G100" s="936">
        <f>+$I$95*((D100+F100)/2)+E100</f>
        <v>189512.53522246657</v>
      </c>
      <c r="H100" s="937">
        <f>$I$96*((D100+F100)/2)+E100</f>
        <v>189512.53522246657</v>
      </c>
      <c r="I100" s="502">
        <f>+H100-G100</f>
        <v>0</v>
      </c>
      <c r="J100" s="502"/>
      <c r="K100" s="626">
        <v>44166</v>
      </c>
      <c r="L100" s="504"/>
      <c r="M100" s="626">
        <v>44166</v>
      </c>
      <c r="N100" s="504"/>
      <c r="O100" s="504"/>
    </row>
    <row r="101" spans="1:15">
      <c r="C101" s="498">
        <f>IF(D94="","-",+C100+1)</f>
        <v>2014</v>
      </c>
      <c r="D101" s="462">
        <f t="shared" ref="D101:D159" si="1">F100</f>
        <v>1111759.2713461539</v>
      </c>
      <c r="E101" s="505">
        <f>IF(D101&gt;$I$97,$I$97,D101)</f>
        <v>21448.731923076924</v>
      </c>
      <c r="F101" s="462">
        <f t="shared" si="0"/>
        <v>1090310.5394230769</v>
      </c>
      <c r="G101" s="935">
        <f t="shared" ref="G101:G159" si="2">+$I$95*((D101+F101)/2)+E101</f>
        <v>205297.29032800495</v>
      </c>
      <c r="H101" s="938">
        <f t="shared" ref="H101:H159" si="3">$I$96*((D101+F101)/2)+E101</f>
        <v>205297.29032800495</v>
      </c>
      <c r="I101" s="502">
        <f t="shared" ref="I101:I159" si="4">+H101-G101</f>
        <v>0</v>
      </c>
      <c r="J101" s="502"/>
      <c r="K101" s="627">
        <v>33234</v>
      </c>
      <c r="L101" s="508"/>
      <c r="M101" s="627">
        <v>33234</v>
      </c>
      <c r="N101" s="508"/>
      <c r="O101" s="508"/>
    </row>
    <row r="102" spans="1:15">
      <c r="C102" s="498">
        <f>IF(D94="","-",+C101+1)</f>
        <v>2015</v>
      </c>
      <c r="D102" s="462">
        <f t="shared" si="1"/>
        <v>1090310.5394230769</v>
      </c>
      <c r="E102" s="505">
        <f t="shared" ref="E102:E159" si="5">IF(D102&gt;$I$97,$I$97,D102)</f>
        <v>21448.731923076924</v>
      </c>
      <c r="F102" s="462">
        <f t="shared" si="0"/>
        <v>1068861.8074999999</v>
      </c>
      <c r="G102" s="935">
        <f t="shared" si="2"/>
        <v>201715.82490453229</v>
      </c>
      <c r="H102" s="938">
        <f t="shared" si="3"/>
        <v>201715.82490453229</v>
      </c>
      <c r="I102" s="502">
        <f t="shared" si="4"/>
        <v>0</v>
      </c>
      <c r="J102" s="502"/>
      <c r="K102" s="627">
        <v>58699</v>
      </c>
      <c r="L102" s="508"/>
      <c r="M102" s="627">
        <v>58699</v>
      </c>
      <c r="N102" s="508"/>
      <c r="O102" s="508"/>
    </row>
    <row r="103" spans="1:15">
      <c r="C103" s="498">
        <f>IF(D94="","-",+C102+1)</f>
        <v>2016</v>
      </c>
      <c r="D103" s="462">
        <f t="shared" si="1"/>
        <v>1068861.8074999999</v>
      </c>
      <c r="E103" s="505">
        <f t="shared" si="5"/>
        <v>21448.731923076924</v>
      </c>
      <c r="F103" s="462">
        <f t="shared" si="0"/>
        <v>1047413.075576923</v>
      </c>
      <c r="G103" s="935">
        <f t="shared" si="2"/>
        <v>198134.35948105968</v>
      </c>
      <c r="H103" s="938">
        <f t="shared" si="3"/>
        <v>198134.35948105968</v>
      </c>
      <c r="I103" s="502">
        <f t="shared" si="4"/>
        <v>0</v>
      </c>
      <c r="J103" s="502"/>
      <c r="K103" s="627">
        <v>107095</v>
      </c>
      <c r="L103" s="508"/>
      <c r="M103" s="627">
        <v>107095</v>
      </c>
      <c r="N103" s="508"/>
      <c r="O103" s="508"/>
    </row>
    <row r="104" spans="1:15">
      <c r="C104" s="498">
        <f>IF(D94="","-",+C103+1)</f>
        <v>2017</v>
      </c>
      <c r="D104" s="462">
        <f t="shared" si="1"/>
        <v>1047413.075576923</v>
      </c>
      <c r="E104" s="505">
        <f t="shared" si="5"/>
        <v>21448.731923076924</v>
      </c>
      <c r="F104" s="462">
        <f t="shared" si="0"/>
        <v>1025964.3436538461</v>
      </c>
      <c r="G104" s="935">
        <f t="shared" si="2"/>
        <v>194552.89405758705</v>
      </c>
      <c r="H104" s="938">
        <f t="shared" si="3"/>
        <v>194552.89405758705</v>
      </c>
      <c r="I104" s="502">
        <f t="shared" si="4"/>
        <v>0</v>
      </c>
      <c r="J104" s="502"/>
      <c r="K104" s="939">
        <v>154474</v>
      </c>
      <c r="L104" s="508"/>
      <c r="M104" s="939">
        <v>154474</v>
      </c>
      <c r="N104" s="508"/>
      <c r="O104" s="508"/>
    </row>
    <row r="105" spans="1:15">
      <c r="C105" s="947">
        <f>IF(D94="","-",+C104+1)</f>
        <v>2018</v>
      </c>
      <c r="D105" s="462">
        <f t="shared" si="1"/>
        <v>1025964.3436538461</v>
      </c>
      <c r="E105" s="505">
        <f t="shared" si="5"/>
        <v>21448.731923076924</v>
      </c>
      <c r="F105" s="462">
        <f t="shared" si="0"/>
        <v>1004515.6117307692</v>
      </c>
      <c r="G105" s="935">
        <f t="shared" si="2"/>
        <v>190971.42863411445</v>
      </c>
      <c r="H105" s="938">
        <f t="shared" si="3"/>
        <v>190971.42863411445</v>
      </c>
      <c r="I105" s="502">
        <f t="shared" si="4"/>
        <v>0</v>
      </c>
      <c r="J105" s="502"/>
      <c r="K105" s="627">
        <v>130159</v>
      </c>
      <c r="L105" s="508"/>
      <c r="M105" s="627">
        <v>130159</v>
      </c>
      <c r="N105" s="508"/>
      <c r="O105" s="508"/>
    </row>
    <row r="106" spans="1:15">
      <c r="C106" s="498">
        <f>IF(D94="","-",+C105+1)</f>
        <v>2019</v>
      </c>
      <c r="D106" s="462">
        <f t="shared" si="1"/>
        <v>1004515.6117307692</v>
      </c>
      <c r="E106" s="505">
        <f t="shared" si="5"/>
        <v>21448.731923076924</v>
      </c>
      <c r="F106" s="462">
        <f t="shared" si="0"/>
        <v>983066.87980769225</v>
      </c>
      <c r="G106" s="935">
        <f t="shared" si="2"/>
        <v>187389.96321064181</v>
      </c>
      <c r="H106" s="938">
        <f t="shared" si="3"/>
        <v>187389.96321064181</v>
      </c>
      <c r="I106" s="502">
        <f t="shared" si="4"/>
        <v>0</v>
      </c>
      <c r="J106" s="502"/>
      <c r="K106" s="627">
        <v>131100</v>
      </c>
      <c r="L106" s="508"/>
      <c r="M106" s="627">
        <v>131100</v>
      </c>
      <c r="N106" s="508"/>
      <c r="O106" s="508"/>
    </row>
    <row r="107" spans="1:15">
      <c r="C107" s="498">
        <f>IF(D94="","-",+C106+1)</f>
        <v>2020</v>
      </c>
      <c r="D107" s="462">
        <f t="shared" si="1"/>
        <v>983066.87980769225</v>
      </c>
      <c r="E107" s="505">
        <f t="shared" si="5"/>
        <v>21448.731923076924</v>
      </c>
      <c r="F107" s="462">
        <f t="shared" si="0"/>
        <v>961618.14788461535</v>
      </c>
      <c r="G107" s="935">
        <f t="shared" si="2"/>
        <v>183808.49778716921</v>
      </c>
      <c r="H107" s="938">
        <f t="shared" si="3"/>
        <v>183808.49778716921</v>
      </c>
      <c r="I107" s="502">
        <f t="shared" si="4"/>
        <v>0</v>
      </c>
      <c r="J107" s="502"/>
      <c r="K107" s="627">
        <v>117846.80334090827</v>
      </c>
      <c r="L107" s="508"/>
      <c r="M107" s="627">
        <v>117846.80334090827</v>
      </c>
      <c r="N107" s="508"/>
      <c r="O107" s="508"/>
    </row>
    <row r="108" spans="1:15">
      <c r="C108" s="498">
        <f>IF(D94="","-",+C107+1)</f>
        <v>2021</v>
      </c>
      <c r="D108" s="462">
        <f t="shared" si="1"/>
        <v>961618.14788461535</v>
      </c>
      <c r="E108" s="505">
        <f t="shared" si="5"/>
        <v>21448.731923076924</v>
      </c>
      <c r="F108" s="462">
        <f t="shared" si="0"/>
        <v>940169.41596153844</v>
      </c>
      <c r="G108" s="935">
        <f t="shared" si="2"/>
        <v>180227.03236369655</v>
      </c>
      <c r="H108" s="938">
        <f t="shared" si="3"/>
        <v>180227.03236369655</v>
      </c>
      <c r="I108" s="502">
        <f t="shared" si="4"/>
        <v>0</v>
      </c>
      <c r="J108" s="502"/>
      <c r="K108" s="627">
        <v>118221.54112551096</v>
      </c>
      <c r="L108" s="508"/>
      <c r="M108" s="627">
        <v>118221.54112551096</v>
      </c>
      <c r="N108" s="508"/>
      <c r="O108" s="508"/>
    </row>
    <row r="109" spans="1:15">
      <c r="C109" s="947">
        <f>IF(D94="","-",+C108+1)</f>
        <v>2022</v>
      </c>
      <c r="D109" s="940">
        <f t="shared" si="1"/>
        <v>940169.41596153844</v>
      </c>
      <c r="E109" s="941">
        <f t="shared" si="5"/>
        <v>21448.731923076924</v>
      </c>
      <c r="F109" s="940">
        <f t="shared" si="0"/>
        <v>918720.68403846154</v>
      </c>
      <c r="G109" s="942">
        <f t="shared" si="2"/>
        <v>176645.56694022394</v>
      </c>
      <c r="H109" s="943">
        <f t="shared" si="3"/>
        <v>176645.56694022394</v>
      </c>
      <c r="I109" s="944">
        <f t="shared" si="4"/>
        <v>0</v>
      </c>
      <c r="J109" s="502"/>
      <c r="K109" s="627">
        <v>116396.99706073492</v>
      </c>
      <c r="L109" s="508"/>
      <c r="M109" s="627">
        <v>116396.99706073492</v>
      </c>
      <c r="N109" s="508"/>
      <c r="O109" s="508"/>
    </row>
    <row r="110" spans="1:15">
      <c r="C110" s="498">
        <f>IF(D94="","-",+C109+1)</f>
        <v>2023</v>
      </c>
      <c r="D110" s="462">
        <f t="shared" si="1"/>
        <v>918720.68403846154</v>
      </c>
      <c r="E110" s="505">
        <f t="shared" si="5"/>
        <v>21448.731923076924</v>
      </c>
      <c r="F110" s="462">
        <f t="shared" si="0"/>
        <v>897271.95211538463</v>
      </c>
      <c r="G110" s="935">
        <f t="shared" si="2"/>
        <v>173064.10151675131</v>
      </c>
      <c r="H110" s="938">
        <f t="shared" si="3"/>
        <v>173064.10151675131</v>
      </c>
      <c r="I110" s="502">
        <f t="shared" si="4"/>
        <v>0</v>
      </c>
      <c r="J110" s="502"/>
      <c r="K110" s="627">
        <v>110998.15536206175</v>
      </c>
      <c r="L110" s="508"/>
      <c r="M110" s="627">
        <v>110998.15536206175</v>
      </c>
      <c r="N110" s="508"/>
      <c r="O110" s="508"/>
    </row>
    <row r="111" spans="1:15">
      <c r="C111" s="498">
        <f>IF(D94="","-",+C110+1)</f>
        <v>2024</v>
      </c>
      <c r="D111" s="462">
        <f t="shared" si="1"/>
        <v>897271.95211538463</v>
      </c>
      <c r="E111" s="505">
        <f t="shared" si="5"/>
        <v>21448.731923076924</v>
      </c>
      <c r="F111" s="462">
        <f t="shared" si="0"/>
        <v>875823.22019230772</v>
      </c>
      <c r="G111" s="935">
        <f t="shared" si="2"/>
        <v>169482.63609327871</v>
      </c>
      <c r="H111" s="938">
        <f t="shared" si="3"/>
        <v>169482.63609327871</v>
      </c>
      <c r="I111" s="502">
        <f t="shared" si="4"/>
        <v>0</v>
      </c>
      <c r="J111" s="502"/>
      <c r="K111" s="627">
        <v>119236.77127751833</v>
      </c>
      <c r="L111" s="508"/>
      <c r="M111" s="627">
        <v>119236.77127751833</v>
      </c>
      <c r="N111" s="508"/>
      <c r="O111" s="508"/>
    </row>
    <row r="112" spans="1:15">
      <c r="C112" s="498">
        <f>IF(D94="","-",+C111+1)</f>
        <v>2025</v>
      </c>
      <c r="D112" s="462">
        <f t="shared" si="1"/>
        <v>875823.22019230772</v>
      </c>
      <c r="E112" s="505">
        <f t="shared" si="5"/>
        <v>21448.731923076924</v>
      </c>
      <c r="F112" s="462">
        <f t="shared" si="0"/>
        <v>854374.48826923082</v>
      </c>
      <c r="G112" s="935">
        <f t="shared" si="2"/>
        <v>165901.17066980607</v>
      </c>
      <c r="H112" s="938">
        <f t="shared" si="3"/>
        <v>165901.17066980607</v>
      </c>
      <c r="I112" s="502">
        <f t="shared" si="4"/>
        <v>0</v>
      </c>
      <c r="J112" s="502"/>
      <c r="K112" s="627">
        <v>102097.60806504481</v>
      </c>
      <c r="L112" s="508"/>
      <c r="M112" s="627">
        <v>102097.60806504481</v>
      </c>
      <c r="N112" s="508"/>
      <c r="O112" s="508"/>
    </row>
    <row r="113" spans="3:15">
      <c r="C113" s="498">
        <f>IF(D94="","-",+C112+1)</f>
        <v>2026</v>
      </c>
      <c r="D113" s="462">
        <f t="shared" si="1"/>
        <v>854374.48826923082</v>
      </c>
      <c r="E113" s="505">
        <f t="shared" si="5"/>
        <v>21448.731923076924</v>
      </c>
      <c r="F113" s="462">
        <f t="shared" si="0"/>
        <v>832925.75634615391</v>
      </c>
      <c r="G113" s="935">
        <f t="shared" si="2"/>
        <v>162319.70524633347</v>
      </c>
      <c r="H113" s="938">
        <f t="shared" si="3"/>
        <v>162319.70524633347</v>
      </c>
      <c r="I113" s="502">
        <f t="shared" si="4"/>
        <v>0</v>
      </c>
      <c r="J113" s="502"/>
      <c r="K113" s="627"/>
      <c r="L113" s="508"/>
      <c r="M113" s="627"/>
      <c r="N113" s="508"/>
      <c r="O113" s="508"/>
    </row>
    <row r="114" spans="3:15">
      <c r="C114" s="498">
        <f>IF(D94="","-",+C113+1)</f>
        <v>2027</v>
      </c>
      <c r="D114" s="462">
        <f t="shared" si="1"/>
        <v>832925.75634615391</v>
      </c>
      <c r="E114" s="505">
        <f t="shared" si="5"/>
        <v>21448.731923076924</v>
      </c>
      <c r="F114" s="462">
        <f t="shared" si="0"/>
        <v>811477.024423077</v>
      </c>
      <c r="G114" s="935">
        <f t="shared" si="2"/>
        <v>158738.23982286084</v>
      </c>
      <c r="H114" s="938">
        <f t="shared" si="3"/>
        <v>158738.23982286084</v>
      </c>
      <c r="I114" s="502">
        <f t="shared" si="4"/>
        <v>0</v>
      </c>
      <c r="J114" s="502"/>
      <c r="K114" s="627"/>
      <c r="L114" s="508"/>
      <c r="M114" s="627"/>
      <c r="N114" s="508"/>
      <c r="O114" s="508"/>
    </row>
    <row r="115" spans="3:15">
      <c r="C115" s="498">
        <f>IF(D94="","-",+C114+1)</f>
        <v>2028</v>
      </c>
      <c r="D115" s="462">
        <f t="shared" si="1"/>
        <v>811477.024423077</v>
      </c>
      <c r="E115" s="505">
        <f t="shared" si="5"/>
        <v>21448.731923076924</v>
      </c>
      <c r="F115" s="462">
        <f t="shared" si="0"/>
        <v>790028.2925000001</v>
      </c>
      <c r="G115" s="935">
        <f t="shared" si="2"/>
        <v>155156.77439938823</v>
      </c>
      <c r="H115" s="938">
        <f t="shared" si="3"/>
        <v>155156.77439938823</v>
      </c>
      <c r="I115" s="502">
        <f t="shared" si="4"/>
        <v>0</v>
      </c>
      <c r="J115" s="502"/>
      <c r="K115" s="627"/>
      <c r="L115" s="508"/>
      <c r="M115" s="627"/>
      <c r="N115" s="508"/>
      <c r="O115" s="508"/>
    </row>
    <row r="116" spans="3:15">
      <c r="C116" s="498">
        <f>IF(D94="","-",+C115+1)</f>
        <v>2029</v>
      </c>
      <c r="D116" s="462">
        <f t="shared" si="1"/>
        <v>790028.2925000001</v>
      </c>
      <c r="E116" s="505">
        <f t="shared" si="5"/>
        <v>21448.731923076924</v>
      </c>
      <c r="F116" s="462">
        <f t="shared" si="0"/>
        <v>768579.56057692319</v>
      </c>
      <c r="G116" s="935">
        <f t="shared" si="2"/>
        <v>151575.3089759156</v>
      </c>
      <c r="H116" s="938">
        <f t="shared" si="3"/>
        <v>151575.3089759156</v>
      </c>
      <c r="I116" s="502">
        <f t="shared" si="4"/>
        <v>0</v>
      </c>
      <c r="J116" s="502"/>
      <c r="K116" s="627"/>
      <c r="L116" s="508"/>
      <c r="M116" s="627"/>
      <c r="N116" s="508"/>
      <c r="O116" s="508"/>
    </row>
    <row r="117" spans="3:15">
      <c r="C117" s="498">
        <f>IF(D94="","-",+C116+1)</f>
        <v>2030</v>
      </c>
      <c r="D117" s="462">
        <f t="shared" si="1"/>
        <v>768579.56057692319</v>
      </c>
      <c r="E117" s="505">
        <f t="shared" si="5"/>
        <v>21448.731923076924</v>
      </c>
      <c r="F117" s="462">
        <f t="shared" si="0"/>
        <v>747130.82865384629</v>
      </c>
      <c r="G117" s="935">
        <f t="shared" si="2"/>
        <v>147993.843552443</v>
      </c>
      <c r="H117" s="938">
        <f t="shared" si="3"/>
        <v>147993.843552443</v>
      </c>
      <c r="I117" s="502">
        <f t="shared" si="4"/>
        <v>0</v>
      </c>
      <c r="J117" s="502"/>
      <c r="K117" s="627"/>
      <c r="L117" s="508"/>
      <c r="M117" s="627"/>
      <c r="N117" s="508"/>
      <c r="O117" s="508"/>
    </row>
    <row r="118" spans="3:15">
      <c r="C118" s="498">
        <f>IF(D94="","-",+C117+1)</f>
        <v>2031</v>
      </c>
      <c r="D118" s="462">
        <f t="shared" si="1"/>
        <v>747130.82865384629</v>
      </c>
      <c r="E118" s="505">
        <f t="shared" si="5"/>
        <v>21448.731923076924</v>
      </c>
      <c r="F118" s="462">
        <f t="shared" si="0"/>
        <v>725682.09673076938</v>
      </c>
      <c r="G118" s="935">
        <f t="shared" si="2"/>
        <v>144412.37812897033</v>
      </c>
      <c r="H118" s="938">
        <f t="shared" si="3"/>
        <v>144412.37812897033</v>
      </c>
      <c r="I118" s="502">
        <f t="shared" si="4"/>
        <v>0</v>
      </c>
      <c r="J118" s="502"/>
      <c r="K118" s="627"/>
      <c r="L118" s="508"/>
      <c r="M118" s="627"/>
      <c r="N118" s="508"/>
      <c r="O118" s="508"/>
    </row>
    <row r="119" spans="3:15">
      <c r="C119" s="498">
        <f>IF(D94="","-",+C118+1)</f>
        <v>2032</v>
      </c>
      <c r="D119" s="462">
        <f t="shared" si="1"/>
        <v>725682.09673076938</v>
      </c>
      <c r="E119" s="505">
        <f t="shared" si="5"/>
        <v>21448.731923076924</v>
      </c>
      <c r="F119" s="462">
        <f t="shared" si="0"/>
        <v>704233.36480769247</v>
      </c>
      <c r="G119" s="935">
        <f t="shared" si="2"/>
        <v>140830.91270549776</v>
      </c>
      <c r="H119" s="938">
        <f t="shared" si="3"/>
        <v>140830.91270549776</v>
      </c>
      <c r="I119" s="502">
        <f t="shared" si="4"/>
        <v>0</v>
      </c>
      <c r="J119" s="502"/>
      <c r="K119" s="627"/>
      <c r="L119" s="508"/>
      <c r="M119" s="627"/>
      <c r="N119" s="508"/>
      <c r="O119" s="508"/>
    </row>
    <row r="120" spans="3:15">
      <c r="C120" s="498">
        <f>IF(D94="","-",+C119+1)</f>
        <v>2033</v>
      </c>
      <c r="D120" s="462">
        <f t="shared" si="1"/>
        <v>704233.36480769247</v>
      </c>
      <c r="E120" s="505">
        <f t="shared" si="5"/>
        <v>21448.731923076924</v>
      </c>
      <c r="F120" s="462">
        <f t="shared" si="0"/>
        <v>682784.63288461557</v>
      </c>
      <c r="G120" s="935">
        <f t="shared" si="2"/>
        <v>137249.4472820251</v>
      </c>
      <c r="H120" s="938">
        <f t="shared" si="3"/>
        <v>137249.4472820251</v>
      </c>
      <c r="I120" s="502">
        <f t="shared" si="4"/>
        <v>0</v>
      </c>
      <c r="J120" s="502"/>
      <c r="K120" s="627"/>
      <c r="L120" s="508"/>
      <c r="M120" s="627"/>
      <c r="N120" s="508"/>
      <c r="O120" s="508"/>
    </row>
    <row r="121" spans="3:15">
      <c r="C121" s="498">
        <f>IF(D94="","-",+C120+1)</f>
        <v>2034</v>
      </c>
      <c r="D121" s="462">
        <f t="shared" si="1"/>
        <v>682784.63288461557</v>
      </c>
      <c r="E121" s="505">
        <f t="shared" si="5"/>
        <v>21448.731923076924</v>
      </c>
      <c r="F121" s="462">
        <f t="shared" si="0"/>
        <v>661335.90096153866</v>
      </c>
      <c r="G121" s="935">
        <f t="shared" si="2"/>
        <v>133667.98185855249</v>
      </c>
      <c r="H121" s="938">
        <f t="shared" si="3"/>
        <v>133667.98185855249</v>
      </c>
      <c r="I121" s="502">
        <f t="shared" si="4"/>
        <v>0</v>
      </c>
      <c r="J121" s="502"/>
      <c r="K121" s="627"/>
      <c r="L121" s="508"/>
      <c r="M121" s="627"/>
      <c r="N121" s="508"/>
      <c r="O121" s="508"/>
    </row>
    <row r="122" spans="3:15">
      <c r="C122" s="498">
        <f>IF(D94="","-",+C121+1)</f>
        <v>2035</v>
      </c>
      <c r="D122" s="462">
        <f t="shared" si="1"/>
        <v>661335.90096153866</v>
      </c>
      <c r="E122" s="505">
        <f t="shared" si="5"/>
        <v>21448.731923076924</v>
      </c>
      <c r="F122" s="462">
        <f t="shared" si="0"/>
        <v>639887.16903846175</v>
      </c>
      <c r="G122" s="935">
        <f t="shared" si="2"/>
        <v>130086.51643507986</v>
      </c>
      <c r="H122" s="938">
        <f t="shared" si="3"/>
        <v>130086.51643507986</v>
      </c>
      <c r="I122" s="502">
        <f t="shared" si="4"/>
        <v>0</v>
      </c>
      <c r="J122" s="502"/>
      <c r="K122" s="627"/>
      <c r="L122" s="508"/>
      <c r="M122" s="627"/>
      <c r="N122" s="508"/>
      <c r="O122" s="508"/>
    </row>
    <row r="123" spans="3:15">
      <c r="C123" s="498">
        <f>IF(D94="","-",+C122+1)</f>
        <v>2036</v>
      </c>
      <c r="D123" s="462">
        <f t="shared" si="1"/>
        <v>639887.16903846175</v>
      </c>
      <c r="E123" s="505">
        <f t="shared" si="5"/>
        <v>21448.731923076924</v>
      </c>
      <c r="F123" s="462">
        <f t="shared" si="0"/>
        <v>618438.43711538485</v>
      </c>
      <c r="G123" s="935">
        <f t="shared" si="2"/>
        <v>126505.05101160725</v>
      </c>
      <c r="H123" s="938">
        <f t="shared" si="3"/>
        <v>126505.05101160725</v>
      </c>
      <c r="I123" s="502">
        <f t="shared" si="4"/>
        <v>0</v>
      </c>
      <c r="J123" s="502"/>
      <c r="K123" s="627"/>
      <c r="L123" s="508"/>
      <c r="M123" s="627"/>
      <c r="N123" s="508"/>
      <c r="O123" s="508"/>
    </row>
    <row r="124" spans="3:15">
      <c r="C124" s="498">
        <f>IF(D94="","-",+C123+1)</f>
        <v>2037</v>
      </c>
      <c r="D124" s="462">
        <f t="shared" si="1"/>
        <v>618438.43711538485</v>
      </c>
      <c r="E124" s="505">
        <f t="shared" si="5"/>
        <v>21448.731923076924</v>
      </c>
      <c r="F124" s="462">
        <f t="shared" si="0"/>
        <v>596989.70519230794</v>
      </c>
      <c r="G124" s="935">
        <f t="shared" si="2"/>
        <v>122923.58558813462</v>
      </c>
      <c r="H124" s="938">
        <f t="shared" si="3"/>
        <v>122923.58558813462</v>
      </c>
      <c r="I124" s="502">
        <f t="shared" si="4"/>
        <v>0</v>
      </c>
      <c r="J124" s="502"/>
      <c r="K124" s="627"/>
      <c r="L124" s="508"/>
      <c r="M124" s="627"/>
      <c r="N124" s="508"/>
      <c r="O124" s="508"/>
    </row>
    <row r="125" spans="3:15">
      <c r="C125" s="498">
        <f>IF(D94="","-",+C124+1)</f>
        <v>2038</v>
      </c>
      <c r="D125" s="462">
        <f t="shared" si="1"/>
        <v>596989.70519230794</v>
      </c>
      <c r="E125" s="505">
        <f t="shared" si="5"/>
        <v>21448.731923076924</v>
      </c>
      <c r="F125" s="462">
        <f t="shared" si="0"/>
        <v>575540.97326923104</v>
      </c>
      <c r="G125" s="935">
        <f t="shared" si="2"/>
        <v>119342.12016466202</v>
      </c>
      <c r="H125" s="938">
        <f t="shared" si="3"/>
        <v>119342.12016466202</v>
      </c>
      <c r="I125" s="502">
        <f t="shared" si="4"/>
        <v>0</v>
      </c>
      <c r="J125" s="502"/>
      <c r="K125" s="627"/>
      <c r="L125" s="508"/>
      <c r="M125" s="627"/>
      <c r="N125" s="508"/>
      <c r="O125" s="508"/>
    </row>
    <row r="126" spans="3:15">
      <c r="C126" s="498">
        <f>IF(D94="","-",+C125+1)</f>
        <v>2039</v>
      </c>
      <c r="D126" s="462">
        <f t="shared" si="1"/>
        <v>575540.97326923104</v>
      </c>
      <c r="E126" s="505">
        <f t="shared" si="5"/>
        <v>21448.731923076924</v>
      </c>
      <c r="F126" s="462">
        <f t="shared" si="0"/>
        <v>554092.24134615413</v>
      </c>
      <c r="G126" s="935">
        <f t="shared" si="2"/>
        <v>115760.65474118937</v>
      </c>
      <c r="H126" s="938">
        <f t="shared" si="3"/>
        <v>115760.65474118937</v>
      </c>
      <c r="I126" s="502">
        <f t="shared" si="4"/>
        <v>0</v>
      </c>
      <c r="J126" s="502"/>
      <c r="K126" s="627"/>
      <c r="L126" s="508"/>
      <c r="M126" s="627"/>
      <c r="N126" s="508"/>
      <c r="O126" s="508"/>
    </row>
    <row r="127" spans="3:15">
      <c r="C127" s="498">
        <f>IF(D94="","-",+C126+1)</f>
        <v>2040</v>
      </c>
      <c r="D127" s="462">
        <f t="shared" si="1"/>
        <v>554092.24134615413</v>
      </c>
      <c r="E127" s="505">
        <f t="shared" si="5"/>
        <v>21448.731923076924</v>
      </c>
      <c r="F127" s="462">
        <f t="shared" si="0"/>
        <v>532643.50942307722</v>
      </c>
      <c r="G127" s="935">
        <f t="shared" si="2"/>
        <v>112179.18931771677</v>
      </c>
      <c r="H127" s="938">
        <f t="shared" si="3"/>
        <v>112179.18931771677</v>
      </c>
      <c r="I127" s="502">
        <f t="shared" si="4"/>
        <v>0</v>
      </c>
      <c r="J127" s="502"/>
      <c r="K127" s="627"/>
      <c r="L127" s="508"/>
      <c r="M127" s="627"/>
      <c r="N127" s="508"/>
      <c r="O127" s="508"/>
    </row>
    <row r="128" spans="3:15">
      <c r="C128" s="498">
        <f>IF(D94="","-",+C127+1)</f>
        <v>2041</v>
      </c>
      <c r="D128" s="462">
        <f t="shared" si="1"/>
        <v>532643.50942307722</v>
      </c>
      <c r="E128" s="505">
        <f t="shared" si="5"/>
        <v>21448.731923076924</v>
      </c>
      <c r="F128" s="462">
        <f t="shared" si="0"/>
        <v>511194.77750000032</v>
      </c>
      <c r="G128" s="936">
        <f t="shared" si="2"/>
        <v>108597.72389424415</v>
      </c>
      <c r="H128" s="938">
        <f t="shared" si="3"/>
        <v>108597.72389424415</v>
      </c>
      <c r="I128" s="502">
        <f t="shared" si="4"/>
        <v>0</v>
      </c>
      <c r="J128" s="502"/>
      <c r="K128" s="627"/>
      <c r="L128" s="508"/>
      <c r="M128" s="627"/>
      <c r="N128" s="508"/>
      <c r="O128" s="508"/>
    </row>
    <row r="129" spans="3:15">
      <c r="C129" s="498">
        <f>IF(D94="","-",+C128+1)</f>
        <v>2042</v>
      </c>
      <c r="D129" s="462">
        <f t="shared" si="1"/>
        <v>511194.77750000032</v>
      </c>
      <c r="E129" s="505">
        <f t="shared" si="5"/>
        <v>21448.731923076924</v>
      </c>
      <c r="F129" s="462">
        <f t="shared" si="0"/>
        <v>489746.04557692341</v>
      </c>
      <c r="G129" s="935">
        <f t="shared" si="2"/>
        <v>105016.25847077151</v>
      </c>
      <c r="H129" s="938">
        <f t="shared" si="3"/>
        <v>105016.25847077151</v>
      </c>
      <c r="I129" s="502">
        <f t="shared" si="4"/>
        <v>0</v>
      </c>
      <c r="J129" s="502"/>
      <c r="K129" s="627"/>
      <c r="L129" s="508"/>
      <c r="M129" s="627"/>
      <c r="N129" s="508"/>
      <c r="O129" s="508"/>
    </row>
    <row r="130" spans="3:15">
      <c r="C130" s="498">
        <f>IF(D94="","-",+C129+1)</f>
        <v>2043</v>
      </c>
      <c r="D130" s="462">
        <f t="shared" si="1"/>
        <v>489746.04557692341</v>
      </c>
      <c r="E130" s="505">
        <f t="shared" si="5"/>
        <v>21448.731923076924</v>
      </c>
      <c r="F130" s="462">
        <f t="shared" si="0"/>
        <v>468297.3136538465</v>
      </c>
      <c r="G130" s="935">
        <f t="shared" si="2"/>
        <v>101434.7930472989</v>
      </c>
      <c r="H130" s="938">
        <f t="shared" si="3"/>
        <v>101434.7930472989</v>
      </c>
      <c r="I130" s="502">
        <f t="shared" si="4"/>
        <v>0</v>
      </c>
      <c r="J130" s="502"/>
      <c r="K130" s="627"/>
      <c r="L130" s="508"/>
      <c r="M130" s="627"/>
      <c r="N130" s="508"/>
      <c r="O130" s="508"/>
    </row>
    <row r="131" spans="3:15">
      <c r="C131" s="498">
        <f>IF(D94="","-",+C130+1)</f>
        <v>2044</v>
      </c>
      <c r="D131" s="462">
        <f t="shared" si="1"/>
        <v>468297.3136538465</v>
      </c>
      <c r="E131" s="505">
        <f t="shared" si="5"/>
        <v>21448.731923076924</v>
      </c>
      <c r="F131" s="462">
        <f t="shared" si="0"/>
        <v>446848.5817307696</v>
      </c>
      <c r="G131" s="935">
        <f t="shared" si="2"/>
        <v>97853.327623826277</v>
      </c>
      <c r="H131" s="938">
        <f t="shared" si="3"/>
        <v>97853.327623826277</v>
      </c>
      <c r="I131" s="502">
        <f t="shared" si="4"/>
        <v>0</v>
      </c>
      <c r="J131" s="502"/>
      <c r="K131" s="627"/>
      <c r="L131" s="508"/>
      <c r="M131" s="627"/>
      <c r="N131" s="508"/>
      <c r="O131" s="508"/>
    </row>
    <row r="132" spans="3:15">
      <c r="C132" s="498">
        <f>IF(D94="","-",+C131+1)</f>
        <v>2045</v>
      </c>
      <c r="D132" s="462">
        <f t="shared" si="1"/>
        <v>446848.5817307696</v>
      </c>
      <c r="E132" s="505">
        <f t="shared" si="5"/>
        <v>21448.731923076924</v>
      </c>
      <c r="F132" s="462">
        <f t="shared" si="0"/>
        <v>425399.84980769269</v>
      </c>
      <c r="G132" s="935">
        <f t="shared" si="2"/>
        <v>94271.862200353658</v>
      </c>
      <c r="H132" s="938">
        <f t="shared" si="3"/>
        <v>94271.862200353658</v>
      </c>
      <c r="I132" s="502">
        <f t="shared" si="4"/>
        <v>0</v>
      </c>
      <c r="J132" s="502"/>
      <c r="K132" s="627"/>
      <c r="L132" s="508"/>
      <c r="M132" s="627"/>
      <c r="N132" s="508"/>
      <c r="O132" s="508"/>
    </row>
    <row r="133" spans="3:15">
      <c r="C133" s="498">
        <f>IF(D94="","-",+C132+1)</f>
        <v>2046</v>
      </c>
      <c r="D133" s="462">
        <f t="shared" si="1"/>
        <v>425399.84980769269</v>
      </c>
      <c r="E133" s="505">
        <f t="shared" si="5"/>
        <v>21448.731923076924</v>
      </c>
      <c r="F133" s="462">
        <f t="shared" si="0"/>
        <v>403951.11788461579</v>
      </c>
      <c r="G133" s="935">
        <f t="shared" si="2"/>
        <v>90690.39677688104</v>
      </c>
      <c r="H133" s="938">
        <f t="shared" si="3"/>
        <v>90690.39677688104</v>
      </c>
      <c r="I133" s="502">
        <f t="shared" si="4"/>
        <v>0</v>
      </c>
      <c r="J133" s="502"/>
      <c r="K133" s="627"/>
      <c r="L133" s="508"/>
      <c r="M133" s="627"/>
      <c r="N133" s="508"/>
      <c r="O133" s="508"/>
    </row>
    <row r="134" spans="3:15">
      <c r="C134" s="498">
        <f>IF(D94="","-",+C133+1)</f>
        <v>2047</v>
      </c>
      <c r="D134" s="462">
        <f t="shared" si="1"/>
        <v>403951.11788461579</v>
      </c>
      <c r="E134" s="505">
        <f t="shared" si="5"/>
        <v>21448.731923076924</v>
      </c>
      <c r="F134" s="462">
        <f t="shared" si="0"/>
        <v>382502.38596153888</v>
      </c>
      <c r="G134" s="935">
        <f t="shared" si="2"/>
        <v>87108.931353408421</v>
      </c>
      <c r="H134" s="938">
        <f t="shared" si="3"/>
        <v>87108.931353408421</v>
      </c>
      <c r="I134" s="502">
        <f t="shared" si="4"/>
        <v>0</v>
      </c>
      <c r="J134" s="502"/>
      <c r="K134" s="627"/>
      <c r="L134" s="508"/>
      <c r="M134" s="627"/>
      <c r="N134" s="508"/>
      <c r="O134" s="508"/>
    </row>
    <row r="135" spans="3:15">
      <c r="C135" s="498">
        <f>IF(D94="","-",+C134+1)</f>
        <v>2048</v>
      </c>
      <c r="D135" s="462">
        <f t="shared" si="1"/>
        <v>382502.38596153888</v>
      </c>
      <c r="E135" s="505">
        <f t="shared" si="5"/>
        <v>21448.731923076924</v>
      </c>
      <c r="F135" s="462">
        <f t="shared" si="0"/>
        <v>361053.65403846197</v>
      </c>
      <c r="G135" s="935">
        <f t="shared" si="2"/>
        <v>83527.465929935803</v>
      </c>
      <c r="H135" s="938">
        <f t="shared" si="3"/>
        <v>83527.465929935803</v>
      </c>
      <c r="I135" s="502">
        <f t="shared" si="4"/>
        <v>0</v>
      </c>
      <c r="J135" s="502"/>
      <c r="K135" s="627"/>
      <c r="L135" s="508"/>
      <c r="M135" s="627"/>
      <c r="N135" s="508"/>
      <c r="O135" s="508"/>
    </row>
    <row r="136" spans="3:15">
      <c r="C136" s="498">
        <f>IF(D94="","-",+C135+1)</f>
        <v>2049</v>
      </c>
      <c r="D136" s="462">
        <f t="shared" si="1"/>
        <v>361053.65403846197</v>
      </c>
      <c r="E136" s="505">
        <f t="shared" si="5"/>
        <v>21448.731923076924</v>
      </c>
      <c r="F136" s="462">
        <f t="shared" si="0"/>
        <v>339604.92211538507</v>
      </c>
      <c r="G136" s="935">
        <f t="shared" si="2"/>
        <v>79946.000506463184</v>
      </c>
      <c r="H136" s="938">
        <f t="shared" si="3"/>
        <v>79946.000506463184</v>
      </c>
      <c r="I136" s="502">
        <f t="shared" si="4"/>
        <v>0</v>
      </c>
      <c r="J136" s="502"/>
      <c r="K136" s="627"/>
      <c r="L136" s="508"/>
      <c r="M136" s="627"/>
      <c r="N136" s="508"/>
      <c r="O136" s="508"/>
    </row>
    <row r="137" spans="3:15">
      <c r="C137" s="498">
        <f>IF(D94="","-",+C136+1)</f>
        <v>2050</v>
      </c>
      <c r="D137" s="462">
        <f t="shared" si="1"/>
        <v>339604.92211538507</v>
      </c>
      <c r="E137" s="505">
        <f t="shared" si="5"/>
        <v>21448.731923076924</v>
      </c>
      <c r="F137" s="462">
        <f t="shared" si="0"/>
        <v>318156.19019230816</v>
      </c>
      <c r="G137" s="935">
        <f t="shared" si="2"/>
        <v>76364.535082990566</v>
      </c>
      <c r="H137" s="938">
        <f t="shared" si="3"/>
        <v>76364.535082990566</v>
      </c>
      <c r="I137" s="502">
        <f t="shared" si="4"/>
        <v>0</v>
      </c>
      <c r="J137" s="502"/>
      <c r="K137" s="627"/>
      <c r="L137" s="508"/>
      <c r="M137" s="627"/>
      <c r="N137" s="508"/>
      <c r="O137" s="508"/>
    </row>
    <row r="138" spans="3:15">
      <c r="C138" s="498">
        <f>IF(D94="","-",+C137+1)</f>
        <v>2051</v>
      </c>
      <c r="D138" s="462">
        <f t="shared" si="1"/>
        <v>318156.19019230816</v>
      </c>
      <c r="E138" s="505">
        <f t="shared" si="5"/>
        <v>21448.731923076924</v>
      </c>
      <c r="F138" s="462">
        <f t="shared" si="0"/>
        <v>296707.45826923125</v>
      </c>
      <c r="G138" s="935">
        <f t="shared" si="2"/>
        <v>72783.069659517932</v>
      </c>
      <c r="H138" s="938">
        <f t="shared" si="3"/>
        <v>72783.069659517932</v>
      </c>
      <c r="I138" s="502">
        <f t="shared" si="4"/>
        <v>0</v>
      </c>
      <c r="J138" s="502"/>
      <c r="K138" s="627"/>
      <c r="L138" s="508"/>
      <c r="M138" s="627"/>
      <c r="N138" s="508"/>
      <c r="O138" s="508"/>
    </row>
    <row r="139" spans="3:15">
      <c r="C139" s="498">
        <f>IF(D94="","-",+C138+1)</f>
        <v>2052</v>
      </c>
      <c r="D139" s="462">
        <f t="shared" si="1"/>
        <v>296707.45826923125</v>
      </c>
      <c r="E139" s="505">
        <f t="shared" si="5"/>
        <v>21448.731923076924</v>
      </c>
      <c r="F139" s="462">
        <f t="shared" si="0"/>
        <v>275258.72634615435</v>
      </c>
      <c r="G139" s="935">
        <f t="shared" si="2"/>
        <v>69201.604236045314</v>
      </c>
      <c r="H139" s="938">
        <f t="shared" si="3"/>
        <v>69201.604236045314</v>
      </c>
      <c r="I139" s="502">
        <f t="shared" si="4"/>
        <v>0</v>
      </c>
      <c r="J139" s="502"/>
      <c r="K139" s="627"/>
      <c r="L139" s="508"/>
      <c r="M139" s="627"/>
      <c r="N139" s="508"/>
      <c r="O139" s="508"/>
    </row>
    <row r="140" spans="3:15">
      <c r="C140" s="498">
        <f>IF(D94="","-",+C139+1)</f>
        <v>2053</v>
      </c>
      <c r="D140" s="462">
        <f t="shared" si="1"/>
        <v>275258.72634615435</v>
      </c>
      <c r="E140" s="505">
        <f t="shared" si="5"/>
        <v>21448.731923076924</v>
      </c>
      <c r="F140" s="462">
        <f t="shared" si="0"/>
        <v>253809.99442307741</v>
      </c>
      <c r="G140" s="935">
        <f t="shared" si="2"/>
        <v>65620.138812572695</v>
      </c>
      <c r="H140" s="938">
        <f t="shared" si="3"/>
        <v>65620.138812572695</v>
      </c>
      <c r="I140" s="502">
        <f t="shared" si="4"/>
        <v>0</v>
      </c>
      <c r="J140" s="502"/>
      <c r="K140" s="627"/>
      <c r="L140" s="508"/>
      <c r="M140" s="627"/>
      <c r="N140" s="508"/>
      <c r="O140" s="508"/>
    </row>
    <row r="141" spans="3:15">
      <c r="C141" s="498">
        <f>IF(D94="","-",+C140+1)</f>
        <v>2054</v>
      </c>
      <c r="D141" s="462">
        <f t="shared" si="1"/>
        <v>253809.99442307741</v>
      </c>
      <c r="E141" s="505">
        <f t="shared" si="5"/>
        <v>21448.731923076924</v>
      </c>
      <c r="F141" s="462">
        <f t="shared" si="0"/>
        <v>232361.26250000048</v>
      </c>
      <c r="G141" s="935">
        <f t="shared" si="2"/>
        <v>62038.673389100062</v>
      </c>
      <c r="H141" s="938">
        <f t="shared" si="3"/>
        <v>62038.673389100062</v>
      </c>
      <c r="I141" s="502">
        <f t="shared" si="4"/>
        <v>0</v>
      </c>
      <c r="J141" s="502"/>
      <c r="K141" s="627"/>
      <c r="L141" s="508"/>
      <c r="M141" s="627"/>
      <c r="N141" s="508"/>
      <c r="O141" s="508"/>
    </row>
    <row r="142" spans="3:15">
      <c r="C142" s="498">
        <f>IF(D94="","-",+C141+1)</f>
        <v>2055</v>
      </c>
      <c r="D142" s="462">
        <f t="shared" si="1"/>
        <v>232361.26250000048</v>
      </c>
      <c r="E142" s="505">
        <f t="shared" si="5"/>
        <v>21448.731923076924</v>
      </c>
      <c r="F142" s="462">
        <f t="shared" si="0"/>
        <v>210912.53057692354</v>
      </c>
      <c r="G142" s="935">
        <f t="shared" si="2"/>
        <v>58457.207965627444</v>
      </c>
      <c r="H142" s="938">
        <f t="shared" si="3"/>
        <v>58457.207965627444</v>
      </c>
      <c r="I142" s="502">
        <f t="shared" si="4"/>
        <v>0</v>
      </c>
      <c r="J142" s="502"/>
      <c r="K142" s="627"/>
      <c r="L142" s="508"/>
      <c r="M142" s="627"/>
      <c r="N142" s="508"/>
      <c r="O142" s="508"/>
    </row>
    <row r="143" spans="3:15">
      <c r="C143" s="498">
        <f>IF(D94="","-",+C142+1)</f>
        <v>2056</v>
      </c>
      <c r="D143" s="462">
        <f t="shared" si="1"/>
        <v>210912.53057692354</v>
      </c>
      <c r="E143" s="505">
        <f t="shared" si="5"/>
        <v>21448.731923076924</v>
      </c>
      <c r="F143" s="462">
        <f t="shared" si="0"/>
        <v>189463.79865384661</v>
      </c>
      <c r="G143" s="935">
        <f t="shared" si="2"/>
        <v>54875.742542154811</v>
      </c>
      <c r="H143" s="938">
        <f t="shared" si="3"/>
        <v>54875.742542154811</v>
      </c>
      <c r="I143" s="502">
        <f t="shared" si="4"/>
        <v>0</v>
      </c>
      <c r="J143" s="502"/>
      <c r="K143" s="627"/>
      <c r="L143" s="508"/>
      <c r="M143" s="627"/>
      <c r="N143" s="508"/>
      <c r="O143" s="508"/>
    </row>
    <row r="144" spans="3:15">
      <c r="C144" s="498">
        <f>IF(D94="","-",+C143+1)</f>
        <v>2057</v>
      </c>
      <c r="D144" s="462">
        <f t="shared" si="1"/>
        <v>189463.79865384661</v>
      </c>
      <c r="E144" s="505">
        <f t="shared" si="5"/>
        <v>21448.731923076924</v>
      </c>
      <c r="F144" s="462">
        <f t="shared" si="0"/>
        <v>168015.06673076967</v>
      </c>
      <c r="G144" s="935">
        <f t="shared" si="2"/>
        <v>51294.277118682192</v>
      </c>
      <c r="H144" s="938">
        <f t="shared" si="3"/>
        <v>51294.277118682192</v>
      </c>
      <c r="I144" s="502">
        <f t="shared" si="4"/>
        <v>0</v>
      </c>
      <c r="J144" s="502"/>
      <c r="K144" s="627"/>
      <c r="L144" s="508"/>
      <c r="M144" s="627"/>
      <c r="N144" s="508"/>
      <c r="O144" s="508"/>
    </row>
    <row r="145" spans="3:15">
      <c r="C145" s="498">
        <f>IF(D94="","-",+C144+1)</f>
        <v>2058</v>
      </c>
      <c r="D145" s="462">
        <f t="shared" si="1"/>
        <v>168015.06673076967</v>
      </c>
      <c r="E145" s="505">
        <f t="shared" si="5"/>
        <v>21448.731923076924</v>
      </c>
      <c r="F145" s="462">
        <f t="shared" si="0"/>
        <v>146566.33480769274</v>
      </c>
      <c r="G145" s="935">
        <f t="shared" si="2"/>
        <v>47712.811695209566</v>
      </c>
      <c r="H145" s="938">
        <f t="shared" si="3"/>
        <v>47712.811695209566</v>
      </c>
      <c r="I145" s="502">
        <f t="shared" si="4"/>
        <v>0</v>
      </c>
      <c r="J145" s="502"/>
      <c r="K145" s="627"/>
      <c r="L145" s="508"/>
      <c r="M145" s="627"/>
      <c r="N145" s="508"/>
      <c r="O145" s="508"/>
    </row>
    <row r="146" spans="3:15">
      <c r="C146" s="498">
        <f>IF(D94="","-",+C145+1)</f>
        <v>2059</v>
      </c>
      <c r="D146" s="462">
        <f t="shared" si="1"/>
        <v>146566.33480769274</v>
      </c>
      <c r="E146" s="505">
        <f t="shared" si="5"/>
        <v>21448.731923076924</v>
      </c>
      <c r="F146" s="462">
        <f t="shared" si="0"/>
        <v>125117.60288461582</v>
      </c>
      <c r="G146" s="935">
        <f t="shared" si="2"/>
        <v>44131.34627173694</v>
      </c>
      <c r="H146" s="938">
        <f t="shared" si="3"/>
        <v>44131.34627173694</v>
      </c>
      <c r="I146" s="502">
        <f t="shared" si="4"/>
        <v>0</v>
      </c>
      <c r="J146" s="502"/>
      <c r="K146" s="627"/>
      <c r="L146" s="508"/>
      <c r="M146" s="627"/>
      <c r="N146" s="508"/>
      <c r="O146" s="508"/>
    </row>
    <row r="147" spans="3:15">
      <c r="C147" s="498">
        <f>IF(D94="","-",+C146+1)</f>
        <v>2060</v>
      </c>
      <c r="D147" s="462">
        <f t="shared" si="1"/>
        <v>125117.60288461582</v>
      </c>
      <c r="E147" s="505">
        <f t="shared" si="5"/>
        <v>21448.731923076924</v>
      </c>
      <c r="F147" s="462">
        <f t="shared" si="0"/>
        <v>103668.87096153889</v>
      </c>
      <c r="G147" s="935">
        <f t="shared" si="2"/>
        <v>40549.880848264322</v>
      </c>
      <c r="H147" s="938">
        <f t="shared" si="3"/>
        <v>40549.880848264322</v>
      </c>
      <c r="I147" s="502">
        <f t="shared" si="4"/>
        <v>0</v>
      </c>
      <c r="J147" s="502"/>
      <c r="K147" s="627"/>
      <c r="L147" s="508"/>
      <c r="M147" s="627"/>
      <c r="N147" s="508"/>
      <c r="O147" s="508"/>
    </row>
    <row r="148" spans="3:15">
      <c r="C148" s="498">
        <f>IF(D94="","-",+C147+1)</f>
        <v>2061</v>
      </c>
      <c r="D148" s="462">
        <f t="shared" si="1"/>
        <v>103668.87096153889</v>
      </c>
      <c r="E148" s="505">
        <f t="shared" si="5"/>
        <v>21448.731923076924</v>
      </c>
      <c r="F148" s="462">
        <f t="shared" si="0"/>
        <v>82220.139038461974</v>
      </c>
      <c r="G148" s="935">
        <f t="shared" si="2"/>
        <v>36968.415424791703</v>
      </c>
      <c r="H148" s="938">
        <f t="shared" si="3"/>
        <v>36968.415424791703</v>
      </c>
      <c r="I148" s="502">
        <f t="shared" si="4"/>
        <v>0</v>
      </c>
      <c r="J148" s="502"/>
      <c r="K148" s="627"/>
      <c r="L148" s="508"/>
      <c r="M148" s="627"/>
      <c r="N148" s="508"/>
      <c r="O148" s="508"/>
    </row>
    <row r="149" spans="3:15">
      <c r="C149" s="498">
        <f>IF(D94="","-",+C148+1)</f>
        <v>2062</v>
      </c>
      <c r="D149" s="462">
        <f t="shared" si="1"/>
        <v>82220.139038461974</v>
      </c>
      <c r="E149" s="505">
        <f t="shared" si="5"/>
        <v>21448.731923076924</v>
      </c>
      <c r="F149" s="462">
        <f t="shared" si="0"/>
        <v>60771.407115385053</v>
      </c>
      <c r="G149" s="935">
        <f t="shared" si="2"/>
        <v>33386.95000131907</v>
      </c>
      <c r="H149" s="938">
        <f t="shared" si="3"/>
        <v>33386.95000131907</v>
      </c>
      <c r="I149" s="502">
        <f t="shared" si="4"/>
        <v>0</v>
      </c>
      <c r="J149" s="502"/>
      <c r="K149" s="627"/>
      <c r="L149" s="508"/>
      <c r="M149" s="627"/>
      <c r="N149" s="508"/>
      <c r="O149" s="508"/>
    </row>
    <row r="150" spans="3:15">
      <c r="C150" s="498">
        <f>IF(D94="","-",+C149+1)</f>
        <v>2063</v>
      </c>
      <c r="D150" s="462">
        <f t="shared" si="1"/>
        <v>60771.407115385053</v>
      </c>
      <c r="E150" s="505">
        <f t="shared" si="5"/>
        <v>21448.731923076924</v>
      </c>
      <c r="F150" s="462">
        <f t="shared" si="0"/>
        <v>39322.675192308132</v>
      </c>
      <c r="G150" s="935">
        <f t="shared" si="2"/>
        <v>29805.484577846451</v>
      </c>
      <c r="H150" s="938">
        <f t="shared" si="3"/>
        <v>29805.484577846451</v>
      </c>
      <c r="I150" s="502">
        <f t="shared" si="4"/>
        <v>0</v>
      </c>
      <c r="J150" s="502"/>
      <c r="K150" s="627"/>
      <c r="L150" s="508"/>
      <c r="M150" s="627"/>
      <c r="N150" s="508"/>
      <c r="O150" s="508"/>
    </row>
    <row r="151" spans="3:15">
      <c r="C151" s="498">
        <f>IF(D94="","-",+C150+1)</f>
        <v>2064</v>
      </c>
      <c r="D151" s="462">
        <f t="shared" si="1"/>
        <v>39322.675192308132</v>
      </c>
      <c r="E151" s="505">
        <f t="shared" si="5"/>
        <v>21448.731923076924</v>
      </c>
      <c r="F151" s="462">
        <f t="shared" si="0"/>
        <v>17873.943269231208</v>
      </c>
      <c r="G151" s="935">
        <f t="shared" si="2"/>
        <v>26224.019154373829</v>
      </c>
      <c r="H151" s="938">
        <f t="shared" si="3"/>
        <v>26224.019154373829</v>
      </c>
      <c r="I151" s="502">
        <f t="shared" si="4"/>
        <v>0</v>
      </c>
      <c r="J151" s="502"/>
      <c r="K151" s="627"/>
      <c r="L151" s="508"/>
      <c r="M151" s="627"/>
      <c r="N151" s="508"/>
      <c r="O151" s="508"/>
    </row>
    <row r="152" spans="3:15">
      <c r="C152" s="498">
        <f>IF(D94="","-",+C151+1)</f>
        <v>2065</v>
      </c>
      <c r="D152" s="462">
        <f t="shared" si="1"/>
        <v>17873.943269231208</v>
      </c>
      <c r="E152" s="505">
        <f t="shared" si="5"/>
        <v>17873.943269231208</v>
      </c>
      <c r="F152" s="462">
        <f t="shared" si="0"/>
        <v>0</v>
      </c>
      <c r="G152" s="935">
        <f t="shared" si="2"/>
        <v>19366.220529011505</v>
      </c>
      <c r="H152" s="938">
        <f t="shared" si="3"/>
        <v>19366.220529011505</v>
      </c>
      <c r="I152" s="502">
        <f t="shared" si="4"/>
        <v>0</v>
      </c>
      <c r="J152" s="502"/>
      <c r="K152" s="627"/>
      <c r="L152" s="508"/>
      <c r="M152" s="627"/>
      <c r="N152" s="508"/>
      <c r="O152" s="508"/>
    </row>
    <row r="153" spans="3:15">
      <c r="C153" s="498">
        <f>IF(D94="","-",+C152+1)</f>
        <v>2066</v>
      </c>
      <c r="D153" s="462">
        <f t="shared" si="1"/>
        <v>0</v>
      </c>
      <c r="E153" s="505">
        <f t="shared" si="5"/>
        <v>0</v>
      </c>
      <c r="F153" s="462">
        <f t="shared" si="0"/>
        <v>0</v>
      </c>
      <c r="G153" s="935">
        <f t="shared" si="2"/>
        <v>0</v>
      </c>
      <c r="H153" s="938">
        <f t="shared" si="3"/>
        <v>0</v>
      </c>
      <c r="I153" s="502">
        <f t="shared" si="4"/>
        <v>0</v>
      </c>
      <c r="J153" s="502"/>
      <c r="K153" s="627"/>
      <c r="L153" s="508"/>
      <c r="M153" s="627"/>
      <c r="N153" s="508"/>
      <c r="O153" s="508"/>
    </row>
    <row r="154" spans="3:15">
      <c r="C154" s="498">
        <f>IF(D94="","-",+C153+1)</f>
        <v>2067</v>
      </c>
      <c r="D154" s="462">
        <f t="shared" si="1"/>
        <v>0</v>
      </c>
      <c r="E154" s="505">
        <f t="shared" si="5"/>
        <v>0</v>
      </c>
      <c r="F154" s="462">
        <f t="shared" si="0"/>
        <v>0</v>
      </c>
      <c r="G154" s="935">
        <f t="shared" si="2"/>
        <v>0</v>
      </c>
      <c r="H154" s="938">
        <f t="shared" si="3"/>
        <v>0</v>
      </c>
      <c r="I154" s="502">
        <f t="shared" si="4"/>
        <v>0</v>
      </c>
      <c r="J154" s="502"/>
      <c r="K154" s="627"/>
      <c r="L154" s="508"/>
      <c r="M154" s="627"/>
      <c r="N154" s="508"/>
      <c r="O154" s="508"/>
    </row>
    <row r="155" spans="3:15">
      <c r="C155" s="498">
        <f>IF(D94="","-",+C154+1)</f>
        <v>2068</v>
      </c>
      <c r="D155" s="462">
        <f t="shared" si="1"/>
        <v>0</v>
      </c>
      <c r="E155" s="505">
        <f t="shared" si="5"/>
        <v>0</v>
      </c>
      <c r="F155" s="462">
        <f t="shared" si="0"/>
        <v>0</v>
      </c>
      <c r="G155" s="935">
        <f t="shared" si="2"/>
        <v>0</v>
      </c>
      <c r="H155" s="938">
        <f t="shared" si="3"/>
        <v>0</v>
      </c>
      <c r="I155" s="502">
        <f t="shared" si="4"/>
        <v>0</v>
      </c>
      <c r="J155" s="502"/>
      <c r="K155" s="627"/>
      <c r="L155" s="508"/>
      <c r="M155" s="627"/>
      <c r="N155" s="508"/>
      <c r="O155" s="508"/>
    </row>
    <row r="156" spans="3:15">
      <c r="C156" s="498">
        <f>IF(D94="","-",+C155+1)</f>
        <v>2069</v>
      </c>
      <c r="D156" s="462">
        <f t="shared" si="1"/>
        <v>0</v>
      </c>
      <c r="E156" s="505">
        <f t="shared" si="5"/>
        <v>0</v>
      </c>
      <c r="F156" s="462">
        <f t="shared" si="0"/>
        <v>0</v>
      </c>
      <c r="G156" s="935">
        <f t="shared" si="2"/>
        <v>0</v>
      </c>
      <c r="H156" s="938">
        <f t="shared" si="3"/>
        <v>0</v>
      </c>
      <c r="I156" s="502">
        <f t="shared" si="4"/>
        <v>0</v>
      </c>
      <c r="J156" s="502"/>
      <c r="K156" s="627"/>
      <c r="L156" s="508"/>
      <c r="M156" s="627"/>
      <c r="N156" s="508"/>
      <c r="O156" s="508"/>
    </row>
    <row r="157" spans="3:15">
      <c r="C157" s="498">
        <f>IF(D94="","-",+C156+1)</f>
        <v>2070</v>
      </c>
      <c r="D157" s="462">
        <f t="shared" si="1"/>
        <v>0</v>
      </c>
      <c r="E157" s="505">
        <f t="shared" si="5"/>
        <v>0</v>
      </c>
      <c r="F157" s="462">
        <f t="shared" si="0"/>
        <v>0</v>
      </c>
      <c r="G157" s="935">
        <f t="shared" si="2"/>
        <v>0</v>
      </c>
      <c r="H157" s="938">
        <f t="shared" si="3"/>
        <v>0</v>
      </c>
      <c r="I157" s="502">
        <f t="shared" si="4"/>
        <v>0</v>
      </c>
      <c r="J157" s="502"/>
      <c r="K157" s="627"/>
      <c r="L157" s="508"/>
      <c r="M157" s="627"/>
      <c r="N157" s="508"/>
      <c r="O157" s="508"/>
    </row>
    <row r="158" spans="3:15">
      <c r="C158" s="498">
        <f>IF(D94="","-",+C157+1)</f>
        <v>2071</v>
      </c>
      <c r="D158" s="462">
        <f t="shared" si="1"/>
        <v>0</v>
      </c>
      <c r="E158" s="505">
        <f t="shared" si="5"/>
        <v>0</v>
      </c>
      <c r="F158" s="462">
        <f t="shared" si="0"/>
        <v>0</v>
      </c>
      <c r="G158" s="935">
        <f t="shared" si="2"/>
        <v>0</v>
      </c>
      <c r="H158" s="938">
        <f t="shared" si="3"/>
        <v>0</v>
      </c>
      <c r="I158" s="502">
        <f t="shared" si="4"/>
        <v>0</v>
      </c>
      <c r="J158" s="502"/>
      <c r="K158" s="627"/>
      <c r="L158" s="508"/>
      <c r="M158" s="627"/>
      <c r="N158" s="508"/>
      <c r="O158" s="508"/>
    </row>
    <row r="159" spans="3:15" ht="13.5" thickBot="1">
      <c r="C159" s="509">
        <f>IF(D94="","-",+C158+1)</f>
        <v>2072</v>
      </c>
      <c r="D159" s="510">
        <f t="shared" si="1"/>
        <v>0</v>
      </c>
      <c r="E159" s="511">
        <f t="shared" si="5"/>
        <v>0</v>
      </c>
      <c r="F159" s="510">
        <f t="shared" si="0"/>
        <v>0</v>
      </c>
      <c r="G159" s="945">
        <f t="shared" si="2"/>
        <v>0</v>
      </c>
      <c r="H159" s="945">
        <f t="shared" si="3"/>
        <v>0</v>
      </c>
      <c r="I159" s="513">
        <f t="shared" si="4"/>
        <v>0</v>
      </c>
      <c r="J159" s="502"/>
      <c r="K159" s="628"/>
      <c r="L159" s="515"/>
      <c r="M159" s="628"/>
      <c r="N159" s="515"/>
      <c r="O159" s="515"/>
    </row>
    <row r="160" spans="3:15">
      <c r="C160" s="462" t="s">
        <v>288</v>
      </c>
      <c r="D160" s="915"/>
      <c r="E160" s="462"/>
      <c r="F160" s="915"/>
      <c r="G160" s="915">
        <f>SUM(G100:G159)</f>
        <v>6112672.1475521373</v>
      </c>
      <c r="H160" s="915">
        <f>SUM(H100:H159)</f>
        <v>6112672.1475521373</v>
      </c>
      <c r="I160" s="915">
        <f>SUM(I100:I159)</f>
        <v>0</v>
      </c>
      <c r="J160" s="915"/>
      <c r="K160" s="915"/>
      <c r="L160" s="915"/>
      <c r="M160" s="915"/>
      <c r="N160" s="915"/>
      <c r="O160" s="3"/>
    </row>
    <row r="161" spans="1:16">
      <c r="D161" s="76"/>
      <c r="E161" s="3"/>
      <c r="F161" s="3"/>
      <c r="G161" s="3"/>
      <c r="H161" s="914"/>
      <c r="I161" s="914"/>
      <c r="J161" s="915"/>
      <c r="K161" s="914"/>
      <c r="L161" s="914"/>
      <c r="M161" s="914"/>
      <c r="N161" s="914"/>
      <c r="O161" s="3"/>
    </row>
    <row r="162" spans="1:16">
      <c r="C162" s="3" t="s">
        <v>597</v>
      </c>
      <c r="D162" s="76"/>
      <c r="E162" s="3"/>
      <c r="F162" s="3"/>
      <c r="G162" s="3"/>
      <c r="H162" s="914"/>
      <c r="I162" s="914"/>
      <c r="J162" s="915"/>
      <c r="K162" s="914"/>
      <c r="L162" s="914"/>
      <c r="M162" s="914"/>
      <c r="N162" s="914"/>
      <c r="O162" s="3"/>
    </row>
    <row r="163" spans="1:16">
      <c r="C163" s="3"/>
      <c r="D163" s="76"/>
      <c r="E163" s="3"/>
      <c r="F163" s="3"/>
      <c r="G163" s="3"/>
      <c r="H163" s="914"/>
      <c r="I163" s="914"/>
      <c r="J163" s="915"/>
      <c r="K163" s="914"/>
      <c r="L163" s="914"/>
      <c r="M163" s="914"/>
      <c r="N163" s="914"/>
      <c r="O163" s="3"/>
    </row>
    <row r="164" spans="1:16">
      <c r="C164" s="472" t="s">
        <v>883</v>
      </c>
      <c r="D164" s="462"/>
      <c r="E164" s="462"/>
      <c r="F164" s="462"/>
      <c r="G164" s="953"/>
      <c r="H164" s="915"/>
      <c r="I164" s="464"/>
      <c r="J164" s="464"/>
      <c r="K164" s="464"/>
      <c r="L164" s="956"/>
      <c r="M164" s="464"/>
      <c r="N164" s="464"/>
      <c r="O164" s="3"/>
    </row>
    <row r="165" spans="1:16">
      <c r="C165" s="472" t="s">
        <v>476</v>
      </c>
      <c r="D165" s="462"/>
      <c r="E165" s="462"/>
      <c r="F165" s="462"/>
      <c r="G165" s="915"/>
      <c r="H165" s="915"/>
      <c r="I165" s="464"/>
      <c r="J165" s="464"/>
      <c r="K165" s="464"/>
      <c r="L165" s="464"/>
      <c r="M165" s="464"/>
      <c r="N165" s="464"/>
      <c r="O165" s="3"/>
    </row>
    <row r="166" spans="1:16">
      <c r="C166" s="463" t="s">
        <v>289</v>
      </c>
      <c r="D166" s="462"/>
      <c r="E166" s="462"/>
      <c r="F166" s="462"/>
      <c r="G166" s="915"/>
      <c r="H166" s="915"/>
      <c r="I166" s="464"/>
      <c r="J166" s="464"/>
      <c r="K166" s="464"/>
      <c r="L166" s="464"/>
      <c r="M166" s="464"/>
      <c r="N166" s="464"/>
      <c r="O166" s="3"/>
    </row>
    <row r="167" spans="1:16" ht="12.75" customHeight="1">
      <c r="C167" s="463"/>
      <c r="D167" s="462"/>
      <c r="E167" s="462"/>
      <c r="F167" s="462"/>
      <c r="G167" s="915"/>
      <c r="H167" s="915"/>
      <c r="I167" s="464"/>
      <c r="J167" s="464"/>
      <c r="K167" s="464"/>
      <c r="L167" s="464"/>
      <c r="M167" s="464"/>
      <c r="N167" s="464"/>
      <c r="O167" s="3"/>
    </row>
    <row r="168" spans="1:16">
      <c r="C168" s="1299" t="s">
        <v>460</v>
      </c>
      <c r="D168" s="1299"/>
      <c r="E168" s="1299"/>
      <c r="F168" s="1299"/>
      <c r="G168" s="1299"/>
      <c r="H168" s="1299"/>
      <c r="I168" s="1299"/>
      <c r="J168" s="1299"/>
      <c r="K168" s="1299"/>
      <c r="L168" s="1299"/>
      <c r="M168" s="1299"/>
      <c r="N168" s="1299"/>
      <c r="O168" s="1299"/>
    </row>
    <row r="169" spans="1:16">
      <c r="C169" s="1299"/>
      <c r="D169" s="1299"/>
      <c r="E169" s="1299"/>
      <c r="F169" s="1299"/>
      <c r="G169" s="1299"/>
      <c r="H169" s="1299"/>
      <c r="I169" s="1299"/>
      <c r="J169" s="1299"/>
      <c r="K169" s="1299"/>
      <c r="L169" s="1299"/>
      <c r="M169" s="1299"/>
      <c r="N169" s="1299"/>
      <c r="O169" s="1299"/>
    </row>
    <row r="170" spans="1:16">
      <c r="H170" s="946"/>
    </row>
    <row r="171" spans="1:16" ht="20.25">
      <c r="A171" s="404" t="s">
        <v>881</v>
      </c>
      <c r="B171" s="3"/>
      <c r="C171" s="3"/>
      <c r="D171" s="76"/>
      <c r="E171" s="3"/>
      <c r="F171" s="78"/>
      <c r="G171" s="3"/>
      <c r="H171" s="914"/>
      <c r="K171" s="10"/>
      <c r="L171" s="10"/>
      <c r="M171" s="10"/>
      <c r="N171" s="10" t="str">
        <f>"Page "&amp;SUM(P$6:P171)&amp;" of "</f>
        <v xml:space="preserve">Page 3 of </v>
      </c>
      <c r="O171" s="405">
        <f>COUNT(P$6:P$57707)</f>
        <v>3</v>
      </c>
      <c r="P171" s="3">
        <v>1</v>
      </c>
    </row>
    <row r="172" spans="1:16">
      <c r="B172" s="3"/>
      <c r="C172" s="3"/>
      <c r="D172" s="76"/>
      <c r="E172" s="3"/>
      <c r="F172" s="3"/>
      <c r="G172" s="3"/>
      <c r="H172" s="914"/>
      <c r="I172" s="3"/>
      <c r="J172" s="3"/>
      <c r="K172" s="3"/>
      <c r="L172" s="3"/>
      <c r="M172" s="3"/>
      <c r="N172" s="3"/>
      <c r="O172" s="3"/>
    </row>
    <row r="173" spans="1:16" ht="18">
      <c r="B173" s="406" t="s">
        <v>174</v>
      </c>
      <c r="C173" s="465" t="s">
        <v>290</v>
      </c>
      <c r="D173" s="76"/>
      <c r="E173" s="3"/>
      <c r="F173" s="3"/>
      <c r="G173" s="3"/>
      <c r="H173" s="914"/>
      <c r="I173" s="914"/>
      <c r="J173" s="915"/>
      <c r="K173" s="914"/>
      <c r="L173" s="914"/>
      <c r="M173" s="914"/>
      <c r="N173" s="914"/>
      <c r="O173" s="3"/>
    </row>
    <row r="174" spans="1:16" ht="18.75">
      <c r="B174" s="406"/>
      <c r="C174" s="13"/>
      <c r="D174" s="76"/>
      <c r="E174" s="3"/>
      <c r="F174" s="3"/>
      <c r="G174" s="3"/>
      <c r="H174" s="914"/>
      <c r="I174" s="914"/>
      <c r="J174" s="915"/>
      <c r="K174" s="914"/>
      <c r="L174" s="914"/>
      <c r="M174" s="914"/>
      <c r="N174" s="914"/>
      <c r="O174" s="3"/>
    </row>
    <row r="175" spans="1:16" ht="18.75">
      <c r="B175" s="406"/>
      <c r="C175" s="13" t="s">
        <v>291</v>
      </c>
      <c r="D175" s="76"/>
      <c r="E175" s="3"/>
      <c r="F175" s="3"/>
      <c r="G175" s="3"/>
      <c r="H175" s="914"/>
      <c r="I175" s="914"/>
      <c r="J175" s="915"/>
      <c r="K175" s="914"/>
      <c r="L175" s="914"/>
      <c r="M175" s="914"/>
      <c r="N175" s="914"/>
      <c r="O175" s="3"/>
    </row>
    <row r="176" spans="1:16" ht="15.75" thickBot="1">
      <c r="C176" s="241"/>
      <c r="D176" s="76"/>
      <c r="E176" s="3"/>
      <c r="F176" s="3"/>
      <c r="G176" s="3"/>
      <c r="H176" s="914"/>
      <c r="I176" s="914"/>
      <c r="J176" s="915"/>
      <c r="K176" s="914"/>
      <c r="L176" s="914"/>
      <c r="M176" s="914"/>
      <c r="N176" s="914"/>
      <c r="O176" s="3"/>
    </row>
    <row r="177" spans="1:15" ht="15.75">
      <c r="C177" s="407" t="s">
        <v>292</v>
      </c>
      <c r="D177" s="76"/>
      <c r="E177" s="3"/>
      <c r="F177" s="3"/>
      <c r="G177" s="916"/>
      <c r="H177" s="3" t="s">
        <v>271</v>
      </c>
      <c r="I177" s="3"/>
      <c r="J177" s="3"/>
      <c r="K177" s="466" t="s">
        <v>296</v>
      </c>
      <c r="L177" s="467"/>
      <c r="M177" s="468"/>
      <c r="N177" s="917">
        <f>VLOOKUP(I183,C190:O249,5)</f>
        <v>12642.366639592288</v>
      </c>
      <c r="O177" s="3"/>
    </row>
    <row r="178" spans="1:15" ht="15.75">
      <c r="C178" s="407"/>
      <c r="D178" s="76"/>
      <c r="E178" s="3"/>
      <c r="F178" s="3"/>
      <c r="G178" s="3"/>
      <c r="H178" s="918"/>
      <c r="I178" s="918"/>
      <c r="J178" s="919"/>
      <c r="K178" s="471" t="s">
        <v>297</v>
      </c>
      <c r="L178" s="920"/>
      <c r="M178" s="3"/>
      <c r="N178" s="921">
        <f>VLOOKUP(I183,C190:O249,6)</f>
        <v>12642.366639592288</v>
      </c>
      <c r="O178" s="3"/>
    </row>
    <row r="179" spans="1:15" ht="13.5" thickBot="1">
      <c r="C179" s="472" t="s">
        <v>293</v>
      </c>
      <c r="D179" s="1301" t="s">
        <v>1135</v>
      </c>
      <c r="E179" s="1301"/>
      <c r="F179" s="1301"/>
      <c r="G179" s="1301"/>
      <c r="H179" s="1301"/>
      <c r="I179" s="914"/>
      <c r="J179" s="915"/>
      <c r="K179" s="922" t="s">
        <v>450</v>
      </c>
      <c r="L179" s="923"/>
      <c r="M179" s="923"/>
      <c r="N179" s="924">
        <f>+N178-N177</f>
        <v>0</v>
      </c>
      <c r="O179" s="3"/>
    </row>
    <row r="180" spans="1:15">
      <c r="C180" s="474"/>
      <c r="D180" s="1301"/>
      <c r="E180" s="1301"/>
      <c r="F180" s="1301"/>
      <c r="G180" s="1301"/>
      <c r="H180" s="1301"/>
      <c r="I180" s="914"/>
      <c r="J180" s="915"/>
      <c r="K180" s="914"/>
      <c r="L180" s="914"/>
      <c r="M180" s="914"/>
      <c r="N180" s="914"/>
      <c r="O180" s="3"/>
    </row>
    <row r="181" spans="1:15" ht="13.5" thickBot="1">
      <c r="C181" s="474"/>
      <c r="D181" s="925"/>
      <c r="E181" s="476"/>
      <c r="F181" s="476"/>
      <c r="G181" s="476"/>
      <c r="H181" s="476"/>
      <c r="I181" s="476"/>
      <c r="J181" s="476"/>
      <c r="K181" s="476"/>
      <c r="L181" s="476"/>
      <c r="M181" s="476"/>
      <c r="N181" s="476"/>
      <c r="O181" s="3"/>
    </row>
    <row r="182" spans="1:15" ht="13.5" thickBot="1">
      <c r="C182" s="477" t="s">
        <v>294</v>
      </c>
      <c r="D182" s="478"/>
      <c r="E182" s="478"/>
      <c r="F182" s="478"/>
      <c r="G182" s="478"/>
      <c r="H182" s="478"/>
      <c r="I182" s="479"/>
      <c r="K182" s="3"/>
      <c r="L182" s="3"/>
      <c r="M182" s="3"/>
      <c r="N182" s="3"/>
      <c r="O182" s="3"/>
    </row>
    <row r="183" spans="1:15" ht="15">
      <c r="C183" s="480" t="s">
        <v>272</v>
      </c>
      <c r="D183" s="926">
        <v>69593.698277124262</v>
      </c>
      <c r="E183" s="3" t="s">
        <v>273</v>
      </c>
      <c r="G183" s="76"/>
      <c r="H183" s="76"/>
      <c r="I183" s="481">
        <f>$L$26</f>
        <v>2026</v>
      </c>
      <c r="J183" s="136"/>
      <c r="K183" s="1298" t="s">
        <v>459</v>
      </c>
      <c r="L183" s="1298"/>
      <c r="M183" s="1298"/>
      <c r="N183" s="1298"/>
      <c r="O183" s="1298"/>
    </row>
    <row r="184" spans="1:15">
      <c r="C184" s="480" t="s">
        <v>275</v>
      </c>
      <c r="D184" s="632">
        <v>2025</v>
      </c>
      <c r="E184" s="480" t="s">
        <v>276</v>
      </c>
      <c r="F184" s="76"/>
      <c r="H184"/>
      <c r="I184" s="927">
        <f>IF(G177="",0,$F$15)</f>
        <v>0</v>
      </c>
      <c r="J184" s="482"/>
      <c r="K184" s="915" t="s">
        <v>459</v>
      </c>
    </row>
    <row r="185" spans="1:15">
      <c r="C185" s="480" t="s">
        <v>277</v>
      </c>
      <c r="D185" s="926">
        <v>1</v>
      </c>
      <c r="E185" s="480" t="s">
        <v>278</v>
      </c>
      <c r="F185" s="76"/>
      <c r="H185"/>
      <c r="I185" s="483">
        <f>$G$70</f>
        <v>0.16697795638068869</v>
      </c>
      <c r="J185" s="78"/>
      <c r="K185" t="str">
        <f>"          INPUT PROJECTED ARR (WITH &amp; WITHOUT INCENTIVES) FROM EACH PRIOR YEAR"</f>
        <v xml:space="preserve">          INPUT PROJECTED ARR (WITH &amp; WITHOUT INCENTIVES) FROM EACH PRIOR YEAR</v>
      </c>
    </row>
    <row r="186" spans="1:15">
      <c r="C186" s="480" t="s">
        <v>279</v>
      </c>
      <c r="D186" s="484">
        <f>G$79</f>
        <v>52</v>
      </c>
      <c r="E186" s="480" t="s">
        <v>280</v>
      </c>
      <c r="F186" s="76"/>
      <c r="H186"/>
      <c r="I186" s="483">
        <f>IF(G177="",I185,$G$67)</f>
        <v>0.16697795638068869</v>
      </c>
      <c r="J186" s="78"/>
      <c r="K186" t="s">
        <v>357</v>
      </c>
    </row>
    <row r="187" spans="1:15" ht="13.5" thickBot="1">
      <c r="C187" s="480" t="s">
        <v>281</v>
      </c>
      <c r="D187" s="624" t="s">
        <v>882</v>
      </c>
      <c r="E187" s="485" t="s">
        <v>282</v>
      </c>
      <c r="F187" s="486"/>
      <c r="G187" s="487"/>
      <c r="H187" s="487"/>
      <c r="I187" s="924">
        <f>IF(D183=0,0,D183/D186)</f>
        <v>1338.3403514831589</v>
      </c>
      <c r="J187" s="915"/>
      <c r="K187" s="915" t="s">
        <v>363</v>
      </c>
      <c r="L187" s="915"/>
      <c r="M187" s="915"/>
      <c r="N187" s="915"/>
      <c r="O187" s="3"/>
    </row>
    <row r="188" spans="1:15" ht="51">
      <c r="A188" s="12"/>
      <c r="B188" s="12"/>
      <c r="C188" s="488" t="s">
        <v>272</v>
      </c>
      <c r="D188" s="928" t="s">
        <v>283</v>
      </c>
      <c r="E188" s="929" t="s">
        <v>284</v>
      </c>
      <c r="F188" s="928" t="s">
        <v>285</v>
      </c>
      <c r="G188" s="929" t="s">
        <v>356</v>
      </c>
      <c r="H188" s="930" t="s">
        <v>356</v>
      </c>
      <c r="I188" s="488" t="s">
        <v>295</v>
      </c>
      <c r="J188" s="492"/>
      <c r="K188" s="929" t="s">
        <v>365</v>
      </c>
      <c r="L188" s="931"/>
      <c r="M188" s="929" t="s">
        <v>365</v>
      </c>
      <c r="N188" s="931"/>
      <c r="O188" s="931"/>
    </row>
    <row r="189" spans="1:15" ht="13.5" thickBot="1">
      <c r="C189" s="493" t="s">
        <v>177</v>
      </c>
      <c r="D189" s="494" t="s">
        <v>178</v>
      </c>
      <c r="E189" s="493" t="s">
        <v>37</v>
      </c>
      <c r="F189" s="494" t="s">
        <v>178</v>
      </c>
      <c r="G189" s="932" t="s">
        <v>298</v>
      </c>
      <c r="H189" s="933" t="s">
        <v>300</v>
      </c>
      <c r="I189" s="493" t="s">
        <v>389</v>
      </c>
      <c r="J189" s="497"/>
      <c r="K189" s="932" t="s">
        <v>287</v>
      </c>
      <c r="L189" s="934"/>
      <c r="M189" s="932" t="s">
        <v>300</v>
      </c>
      <c r="N189" s="934"/>
      <c r="O189" s="934"/>
    </row>
    <row r="190" spans="1:15">
      <c r="C190" s="498">
        <f>IF(D184= "","-",D184)</f>
        <v>2025</v>
      </c>
      <c r="D190" s="462">
        <f>+D183</f>
        <v>69593.698277124262</v>
      </c>
      <c r="E190" s="935">
        <f>+I187/12*(12-D185)</f>
        <v>1226.8119888595625</v>
      </c>
      <c r="F190" s="462">
        <f t="shared" ref="F190:F249" si="6">+D190-E190</f>
        <v>68366.886288264694</v>
      </c>
      <c r="G190" s="936">
        <f>+$I$95*((D190+F190)/2)+E190</f>
        <v>12745.00022476648</v>
      </c>
      <c r="H190" s="937">
        <f>$I$96*((D190+F190)/2)+E190</f>
        <v>12745.00022476648</v>
      </c>
      <c r="I190" s="502">
        <f>+H190-G190</f>
        <v>0</v>
      </c>
      <c r="J190" s="502"/>
      <c r="K190" s="626">
        <v>6962.2745324868883</v>
      </c>
      <c r="L190" s="504"/>
      <c r="M190" s="626">
        <v>6962.2745324868883</v>
      </c>
      <c r="N190" s="504"/>
      <c r="O190" s="504"/>
    </row>
    <row r="191" spans="1:15">
      <c r="C191" s="498">
        <f>IF(D184="","-",+C190+1)</f>
        <v>2026</v>
      </c>
      <c r="D191" s="462">
        <f t="shared" ref="D191:D249" si="7">F190</f>
        <v>68366.886288264694</v>
      </c>
      <c r="E191" s="505">
        <f>IF(D191&gt;$I$187,$I$187,D191)</f>
        <v>1338.3403514831589</v>
      </c>
      <c r="F191" s="462">
        <f t="shared" si="6"/>
        <v>67028.545936781535</v>
      </c>
      <c r="G191" s="935">
        <f t="shared" ref="G191:G249" si="8">+$I$95*((D191+F191)/2)+E191</f>
        <v>12642.366639592288</v>
      </c>
      <c r="H191" s="938">
        <f t="shared" ref="H191:H249" si="9">$I$96*((D191+F191)/2)+E191</f>
        <v>12642.366639592288</v>
      </c>
      <c r="I191" s="502">
        <f t="shared" ref="I191:I249" si="10">+H191-G191</f>
        <v>0</v>
      </c>
      <c r="J191" s="502"/>
      <c r="K191" s="627"/>
      <c r="L191" s="508"/>
      <c r="M191" s="627"/>
      <c r="N191" s="508"/>
      <c r="O191" s="508"/>
    </row>
    <row r="192" spans="1:15">
      <c r="C192" s="498">
        <f>IF(D184="","-",+C191+1)</f>
        <v>2027</v>
      </c>
      <c r="D192" s="462">
        <f t="shared" si="7"/>
        <v>67028.545936781535</v>
      </c>
      <c r="E192" s="505">
        <f t="shared" ref="E192:E249" si="11">IF(D192&gt;$I$187,$I$187,D192)</f>
        <v>1338.3403514831589</v>
      </c>
      <c r="F192" s="462">
        <f t="shared" si="6"/>
        <v>65690.205585298376</v>
      </c>
      <c r="G192" s="935">
        <f t="shared" si="8"/>
        <v>12418.89330275982</v>
      </c>
      <c r="H192" s="938">
        <f t="shared" si="9"/>
        <v>12418.89330275982</v>
      </c>
      <c r="I192" s="502">
        <f t="shared" si="10"/>
        <v>0</v>
      </c>
      <c r="J192" s="502"/>
      <c r="K192" s="627"/>
      <c r="L192" s="508"/>
      <c r="M192" s="627"/>
      <c r="N192" s="508"/>
      <c r="O192" s="508"/>
    </row>
    <row r="193" spans="3:15">
      <c r="C193" s="498">
        <f>IF(D184="","-",+C192+1)</f>
        <v>2028</v>
      </c>
      <c r="D193" s="462">
        <f t="shared" si="7"/>
        <v>65690.205585298376</v>
      </c>
      <c r="E193" s="505">
        <f t="shared" si="11"/>
        <v>1338.3403514831589</v>
      </c>
      <c r="F193" s="462">
        <f t="shared" si="6"/>
        <v>64351.865233815217</v>
      </c>
      <c r="G193" s="935">
        <f t="shared" si="8"/>
        <v>12195.419965927347</v>
      </c>
      <c r="H193" s="938">
        <f t="shared" si="9"/>
        <v>12195.419965927347</v>
      </c>
      <c r="I193" s="502">
        <f t="shared" si="10"/>
        <v>0</v>
      </c>
      <c r="J193" s="502"/>
      <c r="K193" s="627"/>
      <c r="L193" s="508"/>
      <c r="M193" s="627"/>
      <c r="N193" s="508"/>
      <c r="O193" s="508"/>
    </row>
    <row r="194" spans="3:15">
      <c r="C194" s="498">
        <f>IF(D184="","-",+C193+1)</f>
        <v>2029</v>
      </c>
      <c r="D194" s="462">
        <f t="shared" si="7"/>
        <v>64351.865233815217</v>
      </c>
      <c r="E194" s="505">
        <f t="shared" si="11"/>
        <v>1338.3403514831589</v>
      </c>
      <c r="F194" s="462">
        <f t="shared" si="6"/>
        <v>63013.524882332058</v>
      </c>
      <c r="G194" s="935">
        <f t="shared" si="8"/>
        <v>11971.946629094879</v>
      </c>
      <c r="H194" s="938">
        <f t="shared" si="9"/>
        <v>11971.946629094879</v>
      </c>
      <c r="I194" s="502">
        <f t="shared" si="10"/>
        <v>0</v>
      </c>
      <c r="J194" s="502"/>
      <c r="K194" s="939"/>
      <c r="L194" s="508"/>
      <c r="M194" s="939"/>
      <c r="N194" s="508"/>
      <c r="O194" s="508"/>
    </row>
    <row r="195" spans="3:15">
      <c r="C195" s="947">
        <f>IF(D184="","-",+C194+1)</f>
        <v>2030</v>
      </c>
      <c r="D195" s="462">
        <f t="shared" si="7"/>
        <v>63013.524882332058</v>
      </c>
      <c r="E195" s="505">
        <f t="shared" si="11"/>
        <v>1338.3403514831589</v>
      </c>
      <c r="F195" s="462">
        <f t="shared" si="6"/>
        <v>61675.184530848899</v>
      </c>
      <c r="G195" s="935">
        <f t="shared" si="8"/>
        <v>11748.473292262408</v>
      </c>
      <c r="H195" s="938">
        <f t="shared" si="9"/>
        <v>11748.473292262408</v>
      </c>
      <c r="I195" s="502">
        <f t="shared" si="10"/>
        <v>0</v>
      </c>
      <c r="J195" s="502"/>
      <c r="K195" s="627"/>
      <c r="L195" s="508"/>
      <c r="M195" s="627"/>
      <c r="N195" s="508"/>
      <c r="O195" s="508"/>
    </row>
    <row r="196" spans="3:15">
      <c r="C196" s="498">
        <f>IF(D184="","-",+C195+1)</f>
        <v>2031</v>
      </c>
      <c r="D196" s="462">
        <f t="shared" si="7"/>
        <v>61675.184530848899</v>
      </c>
      <c r="E196" s="505">
        <f t="shared" si="11"/>
        <v>1338.3403514831589</v>
      </c>
      <c r="F196" s="462">
        <f t="shared" si="6"/>
        <v>60336.84417936574</v>
      </c>
      <c r="G196" s="935">
        <f t="shared" si="8"/>
        <v>11524.999955429937</v>
      </c>
      <c r="H196" s="938">
        <f t="shared" si="9"/>
        <v>11524.999955429937</v>
      </c>
      <c r="I196" s="502">
        <f t="shared" si="10"/>
        <v>0</v>
      </c>
      <c r="J196" s="502"/>
      <c r="K196" s="627"/>
      <c r="L196" s="508"/>
      <c r="M196" s="627"/>
      <c r="N196" s="508"/>
      <c r="O196" s="508"/>
    </row>
    <row r="197" spans="3:15">
      <c r="C197" s="498">
        <f>IF(D184="","-",+C196+1)</f>
        <v>2032</v>
      </c>
      <c r="D197" s="462">
        <f t="shared" si="7"/>
        <v>60336.84417936574</v>
      </c>
      <c r="E197" s="505">
        <f t="shared" si="11"/>
        <v>1338.3403514831589</v>
      </c>
      <c r="F197" s="462">
        <f t="shared" si="6"/>
        <v>58998.503827882581</v>
      </c>
      <c r="G197" s="935">
        <f t="shared" si="8"/>
        <v>11301.526618597467</v>
      </c>
      <c r="H197" s="938">
        <f t="shared" si="9"/>
        <v>11301.526618597467</v>
      </c>
      <c r="I197" s="502">
        <f t="shared" si="10"/>
        <v>0</v>
      </c>
      <c r="J197" s="502"/>
      <c r="K197" s="627"/>
      <c r="L197" s="508"/>
      <c r="M197" s="627"/>
      <c r="N197" s="508"/>
      <c r="O197" s="508"/>
    </row>
    <row r="198" spans="3:15">
      <c r="C198" s="498">
        <f>IF(D184="","-",+C197+1)</f>
        <v>2033</v>
      </c>
      <c r="D198" s="462">
        <f t="shared" si="7"/>
        <v>58998.503827882581</v>
      </c>
      <c r="E198" s="505">
        <f t="shared" si="11"/>
        <v>1338.3403514831589</v>
      </c>
      <c r="F198" s="462">
        <f t="shared" si="6"/>
        <v>57660.163476399423</v>
      </c>
      <c r="G198" s="935">
        <f t="shared" si="8"/>
        <v>11078.053281764996</v>
      </c>
      <c r="H198" s="938">
        <f t="shared" si="9"/>
        <v>11078.053281764996</v>
      </c>
      <c r="I198" s="502">
        <f t="shared" si="10"/>
        <v>0</v>
      </c>
      <c r="J198" s="502"/>
      <c r="K198" s="627"/>
      <c r="L198" s="508"/>
      <c r="M198" s="627"/>
      <c r="N198" s="508"/>
      <c r="O198" s="508"/>
    </row>
    <row r="199" spans="3:15">
      <c r="C199" s="947">
        <f>IF(D184="","-",+C198+1)</f>
        <v>2034</v>
      </c>
      <c r="D199" s="940">
        <f t="shared" si="7"/>
        <v>57660.163476399423</v>
      </c>
      <c r="E199" s="505">
        <f t="shared" si="11"/>
        <v>1338.3403514831589</v>
      </c>
      <c r="F199" s="940">
        <f t="shared" si="6"/>
        <v>56321.823124916264</v>
      </c>
      <c r="G199" s="942">
        <f t="shared" si="8"/>
        <v>10854.579944932526</v>
      </c>
      <c r="H199" s="943">
        <f t="shared" si="9"/>
        <v>10854.579944932526</v>
      </c>
      <c r="I199" s="944">
        <f t="shared" si="10"/>
        <v>0</v>
      </c>
      <c r="J199" s="502"/>
      <c r="K199" s="627"/>
      <c r="L199" s="508"/>
      <c r="M199" s="627"/>
      <c r="N199" s="508"/>
      <c r="O199" s="508"/>
    </row>
    <row r="200" spans="3:15">
      <c r="C200" s="498">
        <f>IF(D184="","-",+C199+1)</f>
        <v>2035</v>
      </c>
      <c r="D200" s="462">
        <f t="shared" si="7"/>
        <v>56321.823124916264</v>
      </c>
      <c r="E200" s="505">
        <f t="shared" si="11"/>
        <v>1338.3403514831589</v>
      </c>
      <c r="F200" s="462">
        <f t="shared" si="6"/>
        <v>54983.482773433105</v>
      </c>
      <c r="G200" s="935">
        <f t="shared" si="8"/>
        <v>10631.106608100055</v>
      </c>
      <c r="H200" s="938">
        <f t="shared" si="9"/>
        <v>10631.106608100055</v>
      </c>
      <c r="I200" s="502">
        <f t="shared" si="10"/>
        <v>0</v>
      </c>
      <c r="J200" s="502"/>
      <c r="K200" s="627"/>
      <c r="L200" s="508"/>
      <c r="M200" s="627"/>
      <c r="N200" s="508"/>
      <c r="O200" s="508"/>
    </row>
    <row r="201" spans="3:15">
      <c r="C201" s="498">
        <f>IF(D184="","-",+C200+1)</f>
        <v>2036</v>
      </c>
      <c r="D201" s="462">
        <f t="shared" si="7"/>
        <v>54983.482773433105</v>
      </c>
      <c r="E201" s="505">
        <f t="shared" si="11"/>
        <v>1338.3403514831589</v>
      </c>
      <c r="F201" s="462">
        <f t="shared" si="6"/>
        <v>53645.142421949946</v>
      </c>
      <c r="G201" s="935">
        <f t="shared" si="8"/>
        <v>10407.633271267585</v>
      </c>
      <c r="H201" s="938">
        <f t="shared" si="9"/>
        <v>10407.633271267585</v>
      </c>
      <c r="I201" s="502">
        <f t="shared" si="10"/>
        <v>0</v>
      </c>
      <c r="J201" s="502"/>
      <c r="K201" s="627"/>
      <c r="L201" s="508"/>
      <c r="M201" s="627"/>
      <c r="N201" s="508"/>
      <c r="O201" s="508"/>
    </row>
    <row r="202" spans="3:15">
      <c r="C202" s="498">
        <f>IF(D184="","-",+C201+1)</f>
        <v>2037</v>
      </c>
      <c r="D202" s="462">
        <f t="shared" si="7"/>
        <v>53645.142421949946</v>
      </c>
      <c r="E202" s="505">
        <f t="shared" si="11"/>
        <v>1338.3403514831589</v>
      </c>
      <c r="F202" s="462">
        <f t="shared" si="6"/>
        <v>52306.802070466787</v>
      </c>
      <c r="G202" s="935">
        <f t="shared" si="8"/>
        <v>10184.159934435114</v>
      </c>
      <c r="H202" s="938">
        <f t="shared" si="9"/>
        <v>10184.159934435114</v>
      </c>
      <c r="I202" s="502">
        <f t="shared" si="10"/>
        <v>0</v>
      </c>
      <c r="J202" s="502"/>
      <c r="K202" s="627"/>
      <c r="L202" s="508"/>
      <c r="M202" s="627"/>
      <c r="N202" s="508"/>
      <c r="O202" s="508"/>
    </row>
    <row r="203" spans="3:15">
      <c r="C203" s="498">
        <f>IF(D184="","-",+C202+1)</f>
        <v>2038</v>
      </c>
      <c r="D203" s="462">
        <f t="shared" si="7"/>
        <v>52306.802070466787</v>
      </c>
      <c r="E203" s="505">
        <f t="shared" si="11"/>
        <v>1338.3403514831589</v>
      </c>
      <c r="F203" s="462">
        <f t="shared" si="6"/>
        <v>50968.461718983628</v>
      </c>
      <c r="G203" s="935">
        <f t="shared" si="8"/>
        <v>9960.6865976026438</v>
      </c>
      <c r="H203" s="938">
        <f t="shared" si="9"/>
        <v>9960.6865976026438</v>
      </c>
      <c r="I203" s="502">
        <f t="shared" si="10"/>
        <v>0</v>
      </c>
      <c r="J203" s="502"/>
      <c r="K203" s="627"/>
      <c r="L203" s="508"/>
      <c r="M203" s="627"/>
      <c r="N203" s="508"/>
      <c r="O203" s="508"/>
    </row>
    <row r="204" spans="3:15">
      <c r="C204" s="498">
        <f>IF(D184="","-",+C203+1)</f>
        <v>2039</v>
      </c>
      <c r="D204" s="462">
        <f t="shared" si="7"/>
        <v>50968.461718983628</v>
      </c>
      <c r="E204" s="505">
        <f t="shared" si="11"/>
        <v>1338.3403514831589</v>
      </c>
      <c r="F204" s="462">
        <f t="shared" si="6"/>
        <v>49630.121367500469</v>
      </c>
      <c r="G204" s="935">
        <f t="shared" si="8"/>
        <v>9737.2132607701733</v>
      </c>
      <c r="H204" s="938">
        <f t="shared" si="9"/>
        <v>9737.2132607701733</v>
      </c>
      <c r="I204" s="502">
        <f t="shared" si="10"/>
        <v>0</v>
      </c>
      <c r="J204" s="502"/>
      <c r="K204" s="627"/>
      <c r="L204" s="508"/>
      <c r="M204" s="627"/>
      <c r="N204" s="508"/>
      <c r="O204" s="508"/>
    </row>
    <row r="205" spans="3:15">
      <c r="C205" s="498">
        <f>IF(D184="","-",+C204+1)</f>
        <v>2040</v>
      </c>
      <c r="D205" s="462">
        <f t="shared" si="7"/>
        <v>49630.121367500469</v>
      </c>
      <c r="E205" s="505">
        <f t="shared" si="11"/>
        <v>1338.3403514831589</v>
      </c>
      <c r="F205" s="462">
        <f t="shared" si="6"/>
        <v>48291.78101601731</v>
      </c>
      <c r="G205" s="935">
        <f t="shared" si="8"/>
        <v>9513.7399239377028</v>
      </c>
      <c r="H205" s="938">
        <f t="shared" si="9"/>
        <v>9513.7399239377028</v>
      </c>
      <c r="I205" s="502">
        <f t="shared" si="10"/>
        <v>0</v>
      </c>
      <c r="J205" s="502"/>
      <c r="K205" s="627"/>
      <c r="L205" s="508"/>
      <c r="M205" s="627"/>
      <c r="N205" s="508"/>
      <c r="O205" s="508"/>
    </row>
    <row r="206" spans="3:15">
      <c r="C206" s="498">
        <f>IF(D184="","-",+C205+1)</f>
        <v>2041</v>
      </c>
      <c r="D206" s="462">
        <f t="shared" si="7"/>
        <v>48291.78101601731</v>
      </c>
      <c r="E206" s="505">
        <f t="shared" si="11"/>
        <v>1338.3403514831589</v>
      </c>
      <c r="F206" s="462">
        <f t="shared" si="6"/>
        <v>46953.440664534151</v>
      </c>
      <c r="G206" s="935">
        <f t="shared" si="8"/>
        <v>9290.2665871052322</v>
      </c>
      <c r="H206" s="938">
        <f t="shared" si="9"/>
        <v>9290.2665871052322</v>
      </c>
      <c r="I206" s="502">
        <f t="shared" si="10"/>
        <v>0</v>
      </c>
      <c r="J206" s="502"/>
      <c r="K206" s="627"/>
      <c r="L206" s="508"/>
      <c r="M206" s="627"/>
      <c r="N206" s="508"/>
      <c r="O206" s="508"/>
    </row>
    <row r="207" spans="3:15">
      <c r="C207" s="498">
        <f>IF(D184="","-",+C206+1)</f>
        <v>2042</v>
      </c>
      <c r="D207" s="462">
        <f t="shared" si="7"/>
        <v>46953.440664534151</v>
      </c>
      <c r="E207" s="505">
        <f t="shared" si="11"/>
        <v>1338.3403514831589</v>
      </c>
      <c r="F207" s="462">
        <f t="shared" si="6"/>
        <v>45615.100313050993</v>
      </c>
      <c r="G207" s="935">
        <f t="shared" si="8"/>
        <v>9066.7932502727617</v>
      </c>
      <c r="H207" s="938">
        <f t="shared" si="9"/>
        <v>9066.7932502727617</v>
      </c>
      <c r="I207" s="502">
        <f t="shared" si="10"/>
        <v>0</v>
      </c>
      <c r="J207" s="502"/>
      <c r="K207" s="627"/>
      <c r="L207" s="508"/>
      <c r="M207" s="627"/>
      <c r="N207" s="508"/>
      <c r="O207" s="508"/>
    </row>
    <row r="208" spans="3:15">
      <c r="C208" s="498">
        <f>IF(D184="","-",+C207+1)</f>
        <v>2043</v>
      </c>
      <c r="D208" s="462">
        <f t="shared" si="7"/>
        <v>45615.100313050993</v>
      </c>
      <c r="E208" s="505">
        <f t="shared" si="11"/>
        <v>1338.3403514831589</v>
      </c>
      <c r="F208" s="462">
        <f t="shared" si="6"/>
        <v>44276.759961567834</v>
      </c>
      <c r="G208" s="935">
        <f t="shared" si="8"/>
        <v>8843.3199134402912</v>
      </c>
      <c r="H208" s="938">
        <f t="shared" si="9"/>
        <v>8843.3199134402912</v>
      </c>
      <c r="I208" s="502">
        <f t="shared" si="10"/>
        <v>0</v>
      </c>
      <c r="J208" s="502"/>
      <c r="K208" s="627"/>
      <c r="L208" s="508"/>
      <c r="M208" s="627"/>
      <c r="N208" s="508"/>
      <c r="O208" s="508"/>
    </row>
    <row r="209" spans="3:15">
      <c r="C209" s="498">
        <f>IF(D184="","-",+C208+1)</f>
        <v>2044</v>
      </c>
      <c r="D209" s="462">
        <f t="shared" si="7"/>
        <v>44276.759961567834</v>
      </c>
      <c r="E209" s="505">
        <f t="shared" si="11"/>
        <v>1338.3403514831589</v>
      </c>
      <c r="F209" s="462">
        <f t="shared" si="6"/>
        <v>42938.419610084675</v>
      </c>
      <c r="G209" s="935">
        <f t="shared" si="8"/>
        <v>8619.8465766078207</v>
      </c>
      <c r="H209" s="938">
        <f t="shared" si="9"/>
        <v>8619.8465766078207</v>
      </c>
      <c r="I209" s="502">
        <f t="shared" si="10"/>
        <v>0</v>
      </c>
      <c r="J209" s="502"/>
      <c r="K209" s="627"/>
      <c r="L209" s="508"/>
      <c r="M209" s="627"/>
      <c r="N209" s="508"/>
      <c r="O209" s="508"/>
    </row>
    <row r="210" spans="3:15">
      <c r="C210" s="498">
        <f>IF(D184="","-",+C209+1)</f>
        <v>2045</v>
      </c>
      <c r="D210" s="462">
        <f t="shared" si="7"/>
        <v>42938.419610084675</v>
      </c>
      <c r="E210" s="505">
        <f t="shared" si="11"/>
        <v>1338.3403514831589</v>
      </c>
      <c r="F210" s="462">
        <f t="shared" si="6"/>
        <v>41600.079258601516</v>
      </c>
      <c r="G210" s="935">
        <f t="shared" si="8"/>
        <v>8396.3732397753502</v>
      </c>
      <c r="H210" s="938">
        <f t="shared" si="9"/>
        <v>8396.3732397753502</v>
      </c>
      <c r="I210" s="502">
        <f t="shared" si="10"/>
        <v>0</v>
      </c>
      <c r="J210" s="502"/>
      <c r="K210" s="627"/>
      <c r="L210" s="508"/>
      <c r="M210" s="627"/>
      <c r="N210" s="508"/>
      <c r="O210" s="508"/>
    </row>
    <row r="211" spans="3:15">
      <c r="C211" s="498">
        <f>IF(D184="","-",+C210+1)</f>
        <v>2046</v>
      </c>
      <c r="D211" s="462">
        <f t="shared" si="7"/>
        <v>41600.079258601516</v>
      </c>
      <c r="E211" s="505">
        <f t="shared" si="11"/>
        <v>1338.3403514831589</v>
      </c>
      <c r="F211" s="462">
        <f t="shared" si="6"/>
        <v>40261.738907118357</v>
      </c>
      <c r="G211" s="935">
        <f t="shared" si="8"/>
        <v>8172.8999029428796</v>
      </c>
      <c r="H211" s="938">
        <f t="shared" si="9"/>
        <v>8172.8999029428796</v>
      </c>
      <c r="I211" s="502">
        <f t="shared" si="10"/>
        <v>0</v>
      </c>
      <c r="J211" s="502"/>
      <c r="K211" s="627"/>
      <c r="L211" s="508"/>
      <c r="M211" s="627"/>
      <c r="N211" s="508"/>
      <c r="O211" s="508"/>
    </row>
    <row r="212" spans="3:15">
      <c r="C212" s="498">
        <f>IF(D184="","-",+C211+1)</f>
        <v>2047</v>
      </c>
      <c r="D212" s="462">
        <f t="shared" si="7"/>
        <v>40261.738907118357</v>
      </c>
      <c r="E212" s="505">
        <f t="shared" si="11"/>
        <v>1338.3403514831589</v>
      </c>
      <c r="F212" s="462">
        <f t="shared" si="6"/>
        <v>38923.398555635198</v>
      </c>
      <c r="G212" s="935">
        <f t="shared" si="8"/>
        <v>7949.4265661104091</v>
      </c>
      <c r="H212" s="938">
        <f t="shared" si="9"/>
        <v>7949.4265661104091</v>
      </c>
      <c r="I212" s="502">
        <f t="shared" si="10"/>
        <v>0</v>
      </c>
      <c r="J212" s="502"/>
      <c r="K212" s="627"/>
      <c r="L212" s="508"/>
      <c r="M212" s="627"/>
      <c r="N212" s="508"/>
      <c r="O212" s="508"/>
    </row>
    <row r="213" spans="3:15">
      <c r="C213" s="498">
        <f>IF(D184="","-",+C212+1)</f>
        <v>2048</v>
      </c>
      <c r="D213" s="462">
        <f t="shared" si="7"/>
        <v>38923.398555635198</v>
      </c>
      <c r="E213" s="505">
        <f t="shared" si="11"/>
        <v>1338.3403514831589</v>
      </c>
      <c r="F213" s="462">
        <f t="shared" si="6"/>
        <v>37585.058204152039</v>
      </c>
      <c r="G213" s="935">
        <f t="shared" si="8"/>
        <v>7725.9532292779386</v>
      </c>
      <c r="H213" s="938">
        <f t="shared" si="9"/>
        <v>7725.9532292779386</v>
      </c>
      <c r="I213" s="502">
        <f t="shared" si="10"/>
        <v>0</v>
      </c>
      <c r="J213" s="502"/>
      <c r="K213" s="627"/>
      <c r="L213" s="508"/>
      <c r="M213" s="627"/>
      <c r="N213" s="508"/>
      <c r="O213" s="508"/>
    </row>
    <row r="214" spans="3:15">
      <c r="C214" s="498">
        <f>IF(D184="","-",+C213+1)</f>
        <v>2049</v>
      </c>
      <c r="D214" s="462">
        <f t="shared" si="7"/>
        <v>37585.058204152039</v>
      </c>
      <c r="E214" s="505">
        <f t="shared" si="11"/>
        <v>1338.3403514831589</v>
      </c>
      <c r="F214" s="462">
        <f t="shared" si="6"/>
        <v>36246.71785266888</v>
      </c>
      <c r="G214" s="935">
        <f t="shared" si="8"/>
        <v>7502.4798924454681</v>
      </c>
      <c r="H214" s="938">
        <f t="shared" si="9"/>
        <v>7502.4798924454681</v>
      </c>
      <c r="I214" s="502">
        <f t="shared" si="10"/>
        <v>0</v>
      </c>
      <c r="J214" s="502"/>
      <c r="K214" s="627"/>
      <c r="L214" s="508"/>
      <c r="M214" s="627"/>
      <c r="N214" s="508"/>
      <c r="O214" s="508"/>
    </row>
    <row r="215" spans="3:15">
      <c r="C215" s="498">
        <f>IF(D184="","-",+C214+1)</f>
        <v>2050</v>
      </c>
      <c r="D215" s="462">
        <f t="shared" si="7"/>
        <v>36246.71785266888</v>
      </c>
      <c r="E215" s="505">
        <f t="shared" si="11"/>
        <v>1338.3403514831589</v>
      </c>
      <c r="F215" s="462">
        <f t="shared" si="6"/>
        <v>34908.377501185721</v>
      </c>
      <c r="G215" s="935">
        <f t="shared" si="8"/>
        <v>7279.0065556129975</v>
      </c>
      <c r="H215" s="938">
        <f t="shared" si="9"/>
        <v>7279.0065556129975</v>
      </c>
      <c r="I215" s="502">
        <f t="shared" si="10"/>
        <v>0</v>
      </c>
      <c r="J215" s="502"/>
      <c r="K215" s="627"/>
      <c r="L215" s="508"/>
      <c r="M215" s="627"/>
      <c r="N215" s="508"/>
      <c r="O215" s="508"/>
    </row>
    <row r="216" spans="3:15">
      <c r="C216" s="498">
        <f>IF(D184="","-",+C215+1)</f>
        <v>2051</v>
      </c>
      <c r="D216" s="462">
        <f t="shared" si="7"/>
        <v>34908.377501185721</v>
      </c>
      <c r="E216" s="505">
        <f t="shared" si="11"/>
        <v>1338.3403514831589</v>
      </c>
      <c r="F216" s="462">
        <f t="shared" si="6"/>
        <v>33570.037149702563</v>
      </c>
      <c r="G216" s="935">
        <f t="shared" si="8"/>
        <v>7055.533218780527</v>
      </c>
      <c r="H216" s="938">
        <f t="shared" si="9"/>
        <v>7055.533218780527</v>
      </c>
      <c r="I216" s="502">
        <f t="shared" si="10"/>
        <v>0</v>
      </c>
      <c r="J216" s="502"/>
      <c r="K216" s="627"/>
      <c r="L216" s="508"/>
      <c r="M216" s="627"/>
      <c r="N216" s="508"/>
      <c r="O216" s="508"/>
    </row>
    <row r="217" spans="3:15">
      <c r="C217" s="498">
        <f>IF(D184="","-",+C216+1)</f>
        <v>2052</v>
      </c>
      <c r="D217" s="462">
        <f t="shared" si="7"/>
        <v>33570.037149702563</v>
      </c>
      <c r="E217" s="505">
        <f t="shared" si="11"/>
        <v>1338.3403514831589</v>
      </c>
      <c r="F217" s="462">
        <f t="shared" si="6"/>
        <v>32231.696798219404</v>
      </c>
      <c r="G217" s="935">
        <f t="shared" si="8"/>
        <v>6832.0598819480565</v>
      </c>
      <c r="H217" s="938">
        <f t="shared" si="9"/>
        <v>6832.0598819480565</v>
      </c>
      <c r="I217" s="502">
        <f t="shared" si="10"/>
        <v>0</v>
      </c>
      <c r="J217" s="502"/>
      <c r="K217" s="627"/>
      <c r="L217" s="508"/>
      <c r="M217" s="627"/>
      <c r="N217" s="508"/>
      <c r="O217" s="508"/>
    </row>
    <row r="218" spans="3:15">
      <c r="C218" s="498">
        <f>IF(D184="","-",+C217+1)</f>
        <v>2053</v>
      </c>
      <c r="D218" s="462">
        <f t="shared" si="7"/>
        <v>32231.696798219404</v>
      </c>
      <c r="E218" s="505">
        <f t="shared" si="11"/>
        <v>1338.3403514831589</v>
      </c>
      <c r="F218" s="462">
        <f t="shared" si="6"/>
        <v>30893.356446736245</v>
      </c>
      <c r="G218" s="936">
        <f t="shared" si="8"/>
        <v>6608.586545115586</v>
      </c>
      <c r="H218" s="938">
        <f t="shared" si="9"/>
        <v>6608.586545115586</v>
      </c>
      <c r="I218" s="502">
        <f t="shared" si="10"/>
        <v>0</v>
      </c>
      <c r="J218" s="502"/>
      <c r="K218" s="627"/>
      <c r="L218" s="508"/>
      <c r="M218" s="627"/>
      <c r="N218" s="508"/>
      <c r="O218" s="508"/>
    </row>
    <row r="219" spans="3:15">
      <c r="C219" s="498">
        <f>IF(D184="","-",+C218+1)</f>
        <v>2054</v>
      </c>
      <c r="D219" s="462">
        <f t="shared" si="7"/>
        <v>30893.356446736245</v>
      </c>
      <c r="E219" s="505">
        <f t="shared" si="11"/>
        <v>1338.3403514831589</v>
      </c>
      <c r="F219" s="462">
        <f t="shared" si="6"/>
        <v>29555.016095253086</v>
      </c>
      <c r="G219" s="935">
        <f t="shared" si="8"/>
        <v>6385.1132082831164</v>
      </c>
      <c r="H219" s="938">
        <f t="shared" si="9"/>
        <v>6385.1132082831164</v>
      </c>
      <c r="I219" s="502">
        <f t="shared" si="10"/>
        <v>0</v>
      </c>
      <c r="J219" s="502"/>
      <c r="K219" s="627"/>
      <c r="L219" s="508"/>
      <c r="M219" s="627"/>
      <c r="N219" s="508"/>
      <c r="O219" s="508"/>
    </row>
    <row r="220" spans="3:15">
      <c r="C220" s="498">
        <f>IF(D184="","-",+C219+1)</f>
        <v>2055</v>
      </c>
      <c r="D220" s="462">
        <f t="shared" si="7"/>
        <v>29555.016095253086</v>
      </c>
      <c r="E220" s="505">
        <f t="shared" si="11"/>
        <v>1338.3403514831589</v>
      </c>
      <c r="F220" s="462">
        <f t="shared" si="6"/>
        <v>28216.675743769927</v>
      </c>
      <c r="G220" s="935">
        <f t="shared" si="8"/>
        <v>6161.6398714506458</v>
      </c>
      <c r="H220" s="938">
        <f t="shared" si="9"/>
        <v>6161.6398714506458</v>
      </c>
      <c r="I220" s="502">
        <f t="shared" si="10"/>
        <v>0</v>
      </c>
      <c r="J220" s="502"/>
      <c r="K220" s="627"/>
      <c r="L220" s="508"/>
      <c r="M220" s="627"/>
      <c r="N220" s="508"/>
      <c r="O220" s="508"/>
    </row>
    <row r="221" spans="3:15">
      <c r="C221" s="498">
        <f>IF(D184="","-",+C220+1)</f>
        <v>2056</v>
      </c>
      <c r="D221" s="462">
        <f t="shared" si="7"/>
        <v>28216.675743769927</v>
      </c>
      <c r="E221" s="505">
        <f t="shared" si="11"/>
        <v>1338.3403514831589</v>
      </c>
      <c r="F221" s="462">
        <f t="shared" si="6"/>
        <v>26878.335392286768</v>
      </c>
      <c r="G221" s="935">
        <f t="shared" si="8"/>
        <v>5938.1665346181753</v>
      </c>
      <c r="H221" s="938">
        <f t="shared" si="9"/>
        <v>5938.1665346181753</v>
      </c>
      <c r="I221" s="502">
        <f t="shared" si="10"/>
        <v>0</v>
      </c>
      <c r="J221" s="502"/>
      <c r="K221" s="627"/>
      <c r="L221" s="508"/>
      <c r="M221" s="627"/>
      <c r="N221" s="508"/>
      <c r="O221" s="508"/>
    </row>
    <row r="222" spans="3:15">
      <c r="C222" s="498">
        <f>IF(D184="","-",+C221+1)</f>
        <v>2057</v>
      </c>
      <c r="D222" s="462">
        <f t="shared" si="7"/>
        <v>26878.335392286768</v>
      </c>
      <c r="E222" s="505">
        <f t="shared" si="11"/>
        <v>1338.3403514831589</v>
      </c>
      <c r="F222" s="462">
        <f t="shared" si="6"/>
        <v>25539.995040803609</v>
      </c>
      <c r="G222" s="935">
        <f t="shared" si="8"/>
        <v>5714.6931977857048</v>
      </c>
      <c r="H222" s="938">
        <f t="shared" si="9"/>
        <v>5714.6931977857048</v>
      </c>
      <c r="I222" s="502">
        <f t="shared" si="10"/>
        <v>0</v>
      </c>
      <c r="J222" s="502"/>
      <c r="K222" s="627"/>
      <c r="L222" s="508"/>
      <c r="M222" s="627"/>
      <c r="N222" s="508"/>
      <c r="O222" s="508"/>
    </row>
    <row r="223" spans="3:15">
      <c r="C223" s="498">
        <f>IF(D184="","-",+C222+1)</f>
        <v>2058</v>
      </c>
      <c r="D223" s="462">
        <f t="shared" si="7"/>
        <v>25539.995040803609</v>
      </c>
      <c r="E223" s="505">
        <f t="shared" si="11"/>
        <v>1338.3403514831589</v>
      </c>
      <c r="F223" s="462">
        <f t="shared" si="6"/>
        <v>24201.65468932045</v>
      </c>
      <c r="G223" s="935">
        <f t="shared" si="8"/>
        <v>5491.2198609532343</v>
      </c>
      <c r="H223" s="938">
        <f t="shared" si="9"/>
        <v>5491.2198609532343</v>
      </c>
      <c r="I223" s="502">
        <f t="shared" si="10"/>
        <v>0</v>
      </c>
      <c r="J223" s="502"/>
      <c r="K223" s="627"/>
      <c r="L223" s="508"/>
      <c r="M223" s="627"/>
      <c r="N223" s="508"/>
      <c r="O223" s="508"/>
    </row>
    <row r="224" spans="3:15">
      <c r="C224" s="498">
        <f>IF(D184="","-",+C223+1)</f>
        <v>2059</v>
      </c>
      <c r="D224" s="462">
        <f t="shared" si="7"/>
        <v>24201.65468932045</v>
      </c>
      <c r="E224" s="505">
        <f t="shared" si="11"/>
        <v>1338.3403514831589</v>
      </c>
      <c r="F224" s="462">
        <f t="shared" si="6"/>
        <v>22863.314337837292</v>
      </c>
      <c r="G224" s="935">
        <f t="shared" si="8"/>
        <v>5267.7465241207638</v>
      </c>
      <c r="H224" s="938">
        <f t="shared" si="9"/>
        <v>5267.7465241207638</v>
      </c>
      <c r="I224" s="502">
        <f t="shared" si="10"/>
        <v>0</v>
      </c>
      <c r="J224" s="502"/>
      <c r="K224" s="627"/>
      <c r="L224" s="508"/>
      <c r="M224" s="627"/>
      <c r="N224" s="508"/>
      <c r="O224" s="508"/>
    </row>
    <row r="225" spans="3:15">
      <c r="C225" s="498">
        <f>IF(D184="","-",+C224+1)</f>
        <v>2060</v>
      </c>
      <c r="D225" s="462">
        <f t="shared" si="7"/>
        <v>22863.314337837292</v>
      </c>
      <c r="E225" s="505">
        <f t="shared" si="11"/>
        <v>1338.3403514831589</v>
      </c>
      <c r="F225" s="462">
        <f t="shared" si="6"/>
        <v>21524.973986354133</v>
      </c>
      <c r="G225" s="935">
        <f t="shared" si="8"/>
        <v>5044.2731872882932</v>
      </c>
      <c r="H225" s="938">
        <f t="shared" si="9"/>
        <v>5044.2731872882932</v>
      </c>
      <c r="I225" s="502">
        <f t="shared" si="10"/>
        <v>0</v>
      </c>
      <c r="J225" s="502"/>
      <c r="K225" s="627"/>
      <c r="L225" s="508"/>
      <c r="M225" s="627"/>
      <c r="N225" s="508"/>
      <c r="O225" s="508"/>
    </row>
    <row r="226" spans="3:15">
      <c r="C226" s="498">
        <f>IF(D184="","-",+C225+1)</f>
        <v>2061</v>
      </c>
      <c r="D226" s="462">
        <f t="shared" si="7"/>
        <v>21524.973986354133</v>
      </c>
      <c r="E226" s="505">
        <f t="shared" si="11"/>
        <v>1338.3403514831589</v>
      </c>
      <c r="F226" s="462">
        <f t="shared" si="6"/>
        <v>20186.633634870974</v>
      </c>
      <c r="G226" s="935">
        <f t="shared" si="8"/>
        <v>4820.7998504558227</v>
      </c>
      <c r="H226" s="938">
        <f t="shared" si="9"/>
        <v>4820.7998504558227</v>
      </c>
      <c r="I226" s="502">
        <f t="shared" si="10"/>
        <v>0</v>
      </c>
      <c r="J226" s="502"/>
      <c r="K226" s="627"/>
      <c r="L226" s="508"/>
      <c r="M226" s="627"/>
      <c r="N226" s="508"/>
      <c r="O226" s="508"/>
    </row>
    <row r="227" spans="3:15">
      <c r="C227" s="498">
        <f>IF(D184="","-",+C226+1)</f>
        <v>2062</v>
      </c>
      <c r="D227" s="462">
        <f t="shared" si="7"/>
        <v>20186.633634870974</v>
      </c>
      <c r="E227" s="505">
        <f t="shared" si="11"/>
        <v>1338.3403514831589</v>
      </c>
      <c r="F227" s="462">
        <f t="shared" si="6"/>
        <v>18848.293283387815</v>
      </c>
      <c r="G227" s="935">
        <f t="shared" si="8"/>
        <v>4597.3265136233522</v>
      </c>
      <c r="H227" s="938">
        <f t="shared" si="9"/>
        <v>4597.3265136233522</v>
      </c>
      <c r="I227" s="502">
        <f t="shared" si="10"/>
        <v>0</v>
      </c>
      <c r="J227" s="502"/>
      <c r="K227" s="627"/>
      <c r="L227" s="508"/>
      <c r="M227" s="627"/>
      <c r="N227" s="508"/>
      <c r="O227" s="508"/>
    </row>
    <row r="228" spans="3:15">
      <c r="C228" s="498">
        <f>IF(D184="","-",+C227+1)</f>
        <v>2063</v>
      </c>
      <c r="D228" s="462">
        <f t="shared" si="7"/>
        <v>18848.293283387815</v>
      </c>
      <c r="E228" s="505">
        <f t="shared" si="11"/>
        <v>1338.3403514831589</v>
      </c>
      <c r="F228" s="462">
        <f t="shared" si="6"/>
        <v>17509.952931904656</v>
      </c>
      <c r="G228" s="935">
        <f t="shared" si="8"/>
        <v>4373.8531767908817</v>
      </c>
      <c r="H228" s="938">
        <f t="shared" si="9"/>
        <v>4373.8531767908817</v>
      </c>
      <c r="I228" s="502">
        <f t="shared" si="10"/>
        <v>0</v>
      </c>
      <c r="J228" s="502"/>
      <c r="K228" s="627"/>
      <c r="L228" s="508"/>
      <c r="M228" s="627"/>
      <c r="N228" s="508"/>
      <c r="O228" s="508"/>
    </row>
    <row r="229" spans="3:15">
      <c r="C229" s="498">
        <f>IF(D184="","-",+C228+1)</f>
        <v>2064</v>
      </c>
      <c r="D229" s="462">
        <f t="shared" si="7"/>
        <v>17509.952931904656</v>
      </c>
      <c r="E229" s="505">
        <f t="shared" si="11"/>
        <v>1338.3403514831589</v>
      </c>
      <c r="F229" s="462">
        <f t="shared" si="6"/>
        <v>16171.612580421497</v>
      </c>
      <c r="G229" s="935">
        <f t="shared" si="8"/>
        <v>4150.3798399584111</v>
      </c>
      <c r="H229" s="938">
        <f t="shared" si="9"/>
        <v>4150.3798399584111</v>
      </c>
      <c r="I229" s="502">
        <f t="shared" si="10"/>
        <v>0</v>
      </c>
      <c r="J229" s="502"/>
      <c r="K229" s="627"/>
      <c r="L229" s="508"/>
      <c r="M229" s="627"/>
      <c r="N229" s="508"/>
      <c r="O229" s="508"/>
    </row>
    <row r="230" spans="3:15">
      <c r="C230" s="498">
        <f>IF(D184="","-",+C229+1)</f>
        <v>2065</v>
      </c>
      <c r="D230" s="462">
        <f t="shared" si="7"/>
        <v>16171.612580421497</v>
      </c>
      <c r="E230" s="505">
        <f t="shared" si="11"/>
        <v>1338.3403514831589</v>
      </c>
      <c r="F230" s="462">
        <f t="shared" si="6"/>
        <v>14833.272228938338</v>
      </c>
      <c r="G230" s="935">
        <f t="shared" si="8"/>
        <v>3926.9065031259406</v>
      </c>
      <c r="H230" s="938">
        <f t="shared" si="9"/>
        <v>3926.9065031259406</v>
      </c>
      <c r="I230" s="502">
        <f t="shared" si="10"/>
        <v>0</v>
      </c>
      <c r="J230" s="502"/>
      <c r="K230" s="627"/>
      <c r="L230" s="508"/>
      <c r="M230" s="627"/>
      <c r="N230" s="508"/>
      <c r="O230" s="508"/>
    </row>
    <row r="231" spans="3:15">
      <c r="C231" s="498">
        <f>IF(D184="","-",+C230+1)</f>
        <v>2066</v>
      </c>
      <c r="D231" s="462">
        <f t="shared" si="7"/>
        <v>14833.272228938338</v>
      </c>
      <c r="E231" s="505">
        <f t="shared" si="11"/>
        <v>1338.3403514831589</v>
      </c>
      <c r="F231" s="462">
        <f t="shared" si="6"/>
        <v>13494.931877455179</v>
      </c>
      <c r="G231" s="935">
        <f t="shared" si="8"/>
        <v>3703.4331662934705</v>
      </c>
      <c r="H231" s="938">
        <f t="shared" si="9"/>
        <v>3703.4331662934705</v>
      </c>
      <c r="I231" s="502">
        <f t="shared" si="10"/>
        <v>0</v>
      </c>
      <c r="J231" s="502"/>
      <c r="K231" s="627"/>
      <c r="L231" s="508"/>
      <c r="M231" s="627"/>
      <c r="N231" s="508"/>
      <c r="O231" s="508"/>
    </row>
    <row r="232" spans="3:15">
      <c r="C232" s="498">
        <f>IF(D184="","-",+C231+1)</f>
        <v>2067</v>
      </c>
      <c r="D232" s="462">
        <f t="shared" si="7"/>
        <v>13494.931877455179</v>
      </c>
      <c r="E232" s="505">
        <f t="shared" si="11"/>
        <v>1338.3403514831589</v>
      </c>
      <c r="F232" s="462">
        <f t="shared" si="6"/>
        <v>12156.59152597202</v>
      </c>
      <c r="G232" s="935">
        <f t="shared" si="8"/>
        <v>3479.959829461</v>
      </c>
      <c r="H232" s="938">
        <f t="shared" si="9"/>
        <v>3479.959829461</v>
      </c>
      <c r="I232" s="502">
        <f t="shared" si="10"/>
        <v>0</v>
      </c>
      <c r="J232" s="502"/>
      <c r="K232" s="627"/>
      <c r="L232" s="508"/>
      <c r="M232" s="627"/>
      <c r="N232" s="508"/>
      <c r="O232" s="508"/>
    </row>
    <row r="233" spans="3:15">
      <c r="C233" s="498">
        <f>IF(D184="","-",+C232+1)</f>
        <v>2068</v>
      </c>
      <c r="D233" s="462">
        <f t="shared" si="7"/>
        <v>12156.59152597202</v>
      </c>
      <c r="E233" s="505">
        <f t="shared" si="11"/>
        <v>1338.3403514831589</v>
      </c>
      <c r="F233" s="462">
        <f t="shared" si="6"/>
        <v>10818.251174488862</v>
      </c>
      <c r="G233" s="935">
        <f t="shared" si="8"/>
        <v>3256.4864926285295</v>
      </c>
      <c r="H233" s="938">
        <f t="shared" si="9"/>
        <v>3256.4864926285295</v>
      </c>
      <c r="I233" s="502">
        <f t="shared" si="10"/>
        <v>0</v>
      </c>
      <c r="J233" s="502"/>
      <c r="K233" s="627"/>
      <c r="L233" s="508"/>
      <c r="M233" s="627"/>
      <c r="N233" s="508"/>
      <c r="O233" s="508"/>
    </row>
    <row r="234" spans="3:15">
      <c r="C234" s="498">
        <f>IF(D184="","-",+C233+1)</f>
        <v>2069</v>
      </c>
      <c r="D234" s="462">
        <f t="shared" si="7"/>
        <v>10818.251174488862</v>
      </c>
      <c r="E234" s="505">
        <f t="shared" si="11"/>
        <v>1338.3403514831589</v>
      </c>
      <c r="F234" s="462">
        <f t="shared" si="6"/>
        <v>9479.9108230057027</v>
      </c>
      <c r="G234" s="935">
        <f t="shared" si="8"/>
        <v>3033.013155796059</v>
      </c>
      <c r="H234" s="938">
        <f t="shared" si="9"/>
        <v>3033.013155796059</v>
      </c>
      <c r="I234" s="502">
        <f t="shared" si="10"/>
        <v>0</v>
      </c>
      <c r="J234" s="502"/>
      <c r="K234" s="627"/>
      <c r="L234" s="508"/>
      <c r="M234" s="627"/>
      <c r="N234" s="508"/>
      <c r="O234" s="508"/>
    </row>
    <row r="235" spans="3:15">
      <c r="C235" s="498">
        <f>IF(D184="","-",+C234+1)</f>
        <v>2070</v>
      </c>
      <c r="D235" s="462">
        <f t="shared" si="7"/>
        <v>9479.9108230057027</v>
      </c>
      <c r="E235" s="505">
        <f t="shared" si="11"/>
        <v>1338.3403514831589</v>
      </c>
      <c r="F235" s="462">
        <f t="shared" si="6"/>
        <v>8141.5704715225438</v>
      </c>
      <c r="G235" s="935">
        <f t="shared" si="8"/>
        <v>2809.5398189635885</v>
      </c>
      <c r="H235" s="938">
        <f t="shared" si="9"/>
        <v>2809.5398189635885</v>
      </c>
      <c r="I235" s="502">
        <f t="shared" si="10"/>
        <v>0</v>
      </c>
      <c r="J235" s="502"/>
      <c r="K235" s="627"/>
      <c r="L235" s="508"/>
      <c r="M235" s="627"/>
      <c r="N235" s="508"/>
      <c r="O235" s="508"/>
    </row>
    <row r="236" spans="3:15">
      <c r="C236" s="498">
        <f>IF(D184="","-",+C235+1)</f>
        <v>2071</v>
      </c>
      <c r="D236" s="462">
        <f t="shared" si="7"/>
        <v>8141.5704715225438</v>
      </c>
      <c r="E236" s="505">
        <f t="shared" si="11"/>
        <v>1338.3403514831589</v>
      </c>
      <c r="F236" s="462">
        <f t="shared" si="6"/>
        <v>6803.2301200393849</v>
      </c>
      <c r="G236" s="935">
        <f t="shared" si="8"/>
        <v>2586.0664821311179</v>
      </c>
      <c r="H236" s="938">
        <f t="shared" si="9"/>
        <v>2586.0664821311179</v>
      </c>
      <c r="I236" s="502">
        <f t="shared" si="10"/>
        <v>0</v>
      </c>
      <c r="J236" s="502"/>
      <c r="K236" s="627"/>
      <c r="L236" s="508"/>
      <c r="M236" s="627"/>
      <c r="N236" s="508"/>
      <c r="O236" s="508"/>
    </row>
    <row r="237" spans="3:15">
      <c r="C237" s="498">
        <f>IF(D184="","-",+C236+1)</f>
        <v>2072</v>
      </c>
      <c r="D237" s="462">
        <f t="shared" si="7"/>
        <v>6803.2301200393849</v>
      </c>
      <c r="E237" s="505">
        <f t="shared" si="11"/>
        <v>1338.3403514831589</v>
      </c>
      <c r="F237" s="462">
        <f t="shared" si="6"/>
        <v>5464.889768556226</v>
      </c>
      <c r="G237" s="935">
        <f t="shared" si="8"/>
        <v>2362.5931452986474</v>
      </c>
      <c r="H237" s="938">
        <f t="shared" si="9"/>
        <v>2362.5931452986474</v>
      </c>
      <c r="I237" s="502">
        <f t="shared" si="10"/>
        <v>0</v>
      </c>
      <c r="J237" s="502"/>
      <c r="K237" s="627"/>
      <c r="L237" s="508"/>
      <c r="M237" s="627"/>
      <c r="N237" s="508"/>
      <c r="O237" s="508"/>
    </row>
    <row r="238" spans="3:15">
      <c r="C238" s="498">
        <f>IF(D184="","-",+C237+1)</f>
        <v>2073</v>
      </c>
      <c r="D238" s="462">
        <f t="shared" si="7"/>
        <v>5464.889768556226</v>
      </c>
      <c r="E238" s="505">
        <f t="shared" si="11"/>
        <v>1338.3403514831589</v>
      </c>
      <c r="F238" s="462">
        <f t="shared" si="6"/>
        <v>4126.5494170730672</v>
      </c>
      <c r="G238" s="935">
        <f t="shared" si="8"/>
        <v>2139.1198084661769</v>
      </c>
      <c r="H238" s="938">
        <f t="shared" si="9"/>
        <v>2139.1198084661769</v>
      </c>
      <c r="I238" s="502">
        <f t="shared" si="10"/>
        <v>0</v>
      </c>
      <c r="J238" s="502"/>
      <c r="K238" s="627"/>
      <c r="L238" s="508"/>
      <c r="M238" s="627"/>
      <c r="N238" s="508"/>
      <c r="O238" s="508"/>
    </row>
    <row r="239" spans="3:15">
      <c r="C239" s="498">
        <f>IF(D184="","-",+C238+1)</f>
        <v>2074</v>
      </c>
      <c r="D239" s="462">
        <f t="shared" si="7"/>
        <v>4126.5494170730672</v>
      </c>
      <c r="E239" s="505">
        <f t="shared" si="11"/>
        <v>1338.3403514831589</v>
      </c>
      <c r="F239" s="462">
        <f t="shared" si="6"/>
        <v>2788.2090655899083</v>
      </c>
      <c r="G239" s="935">
        <f t="shared" si="8"/>
        <v>1915.6464716337066</v>
      </c>
      <c r="H239" s="938">
        <f t="shared" si="9"/>
        <v>1915.6464716337066</v>
      </c>
      <c r="I239" s="502">
        <f t="shared" si="10"/>
        <v>0</v>
      </c>
      <c r="J239" s="502"/>
      <c r="K239" s="627"/>
      <c r="L239" s="508"/>
      <c r="M239" s="627"/>
      <c r="N239" s="508"/>
      <c r="O239" s="508"/>
    </row>
    <row r="240" spans="3:15">
      <c r="C240" s="498">
        <f>IF(D184="","-",+C239+1)</f>
        <v>2075</v>
      </c>
      <c r="D240" s="462">
        <f t="shared" si="7"/>
        <v>2788.2090655899083</v>
      </c>
      <c r="E240" s="505">
        <f t="shared" si="11"/>
        <v>1338.3403514831589</v>
      </c>
      <c r="F240" s="462">
        <f t="shared" si="6"/>
        <v>1449.8687141067494</v>
      </c>
      <c r="G240" s="935">
        <f t="shared" si="8"/>
        <v>1692.1731348012361</v>
      </c>
      <c r="H240" s="938">
        <f t="shared" si="9"/>
        <v>1692.1731348012361</v>
      </c>
      <c r="I240" s="502">
        <f t="shared" si="10"/>
        <v>0</v>
      </c>
      <c r="J240" s="502"/>
      <c r="K240" s="627"/>
      <c r="L240" s="508"/>
      <c r="M240" s="627"/>
      <c r="N240" s="508"/>
      <c r="O240" s="508"/>
    </row>
    <row r="241" spans="3:15">
      <c r="C241" s="498">
        <f>IF(D184="","-",+C240+1)</f>
        <v>2076</v>
      </c>
      <c r="D241" s="462">
        <f t="shared" si="7"/>
        <v>1449.8687141067494</v>
      </c>
      <c r="E241" s="505">
        <f t="shared" si="11"/>
        <v>1338.3403514831589</v>
      </c>
      <c r="F241" s="462">
        <f t="shared" si="6"/>
        <v>111.52836262359051</v>
      </c>
      <c r="G241" s="935">
        <f t="shared" si="8"/>
        <v>1468.6997979687656</v>
      </c>
      <c r="H241" s="938">
        <f t="shared" si="9"/>
        <v>1468.6997979687656</v>
      </c>
      <c r="I241" s="502">
        <f t="shared" si="10"/>
        <v>0</v>
      </c>
      <c r="J241" s="502"/>
      <c r="K241" s="627"/>
      <c r="L241" s="508"/>
      <c r="M241" s="627"/>
      <c r="N241" s="508"/>
      <c r="O241" s="508"/>
    </row>
    <row r="242" spans="3:15">
      <c r="C242" s="498">
        <f>IF(D184="","-",+C241+1)</f>
        <v>2077</v>
      </c>
      <c r="D242" s="462">
        <f t="shared" si="7"/>
        <v>111.52836262359051</v>
      </c>
      <c r="E242" s="505">
        <f t="shared" si="11"/>
        <v>111.52836262359051</v>
      </c>
      <c r="F242" s="462">
        <f t="shared" si="6"/>
        <v>0</v>
      </c>
      <c r="G242" s="935">
        <f t="shared" si="8"/>
        <v>120.83975165827627</v>
      </c>
      <c r="H242" s="938">
        <f t="shared" si="9"/>
        <v>120.83975165827627</v>
      </c>
      <c r="I242" s="502">
        <f t="shared" si="10"/>
        <v>0</v>
      </c>
      <c r="J242" s="502"/>
      <c r="K242" s="627"/>
      <c r="L242" s="508"/>
      <c r="M242" s="627"/>
      <c r="N242" s="508"/>
      <c r="O242" s="508"/>
    </row>
    <row r="243" spans="3:15">
      <c r="C243" s="498">
        <f>IF(D184="","-",+C242+1)</f>
        <v>2078</v>
      </c>
      <c r="D243" s="462">
        <f t="shared" si="7"/>
        <v>0</v>
      </c>
      <c r="E243" s="505">
        <f t="shared" si="11"/>
        <v>0</v>
      </c>
      <c r="F243" s="462">
        <f t="shared" si="6"/>
        <v>0</v>
      </c>
      <c r="G243" s="935">
        <f t="shared" si="8"/>
        <v>0</v>
      </c>
      <c r="H243" s="938">
        <f t="shared" si="9"/>
        <v>0</v>
      </c>
      <c r="I243" s="502">
        <f t="shared" si="10"/>
        <v>0</v>
      </c>
      <c r="J243" s="502"/>
      <c r="K243" s="627"/>
      <c r="L243" s="508"/>
      <c r="M243" s="627"/>
      <c r="N243" s="508"/>
      <c r="O243" s="508"/>
    </row>
    <row r="244" spans="3:15">
      <c r="C244" s="498">
        <f>IF(D184="","-",+C243+1)</f>
        <v>2079</v>
      </c>
      <c r="D244" s="462">
        <f t="shared" si="7"/>
        <v>0</v>
      </c>
      <c r="E244" s="505">
        <f t="shared" si="11"/>
        <v>0</v>
      </c>
      <c r="F244" s="462">
        <f t="shared" si="6"/>
        <v>0</v>
      </c>
      <c r="G244" s="935">
        <f t="shared" si="8"/>
        <v>0</v>
      </c>
      <c r="H244" s="938">
        <f t="shared" si="9"/>
        <v>0</v>
      </c>
      <c r="I244" s="502">
        <f t="shared" si="10"/>
        <v>0</v>
      </c>
      <c r="J244" s="502"/>
      <c r="K244" s="627"/>
      <c r="L244" s="508"/>
      <c r="M244" s="627"/>
      <c r="N244" s="508"/>
      <c r="O244" s="508"/>
    </row>
    <row r="245" spans="3:15">
      <c r="C245" s="498">
        <f>IF(D184="","-",+C244+1)</f>
        <v>2080</v>
      </c>
      <c r="D245" s="462">
        <f t="shared" si="7"/>
        <v>0</v>
      </c>
      <c r="E245" s="505">
        <f t="shared" si="11"/>
        <v>0</v>
      </c>
      <c r="F245" s="462">
        <f t="shared" si="6"/>
        <v>0</v>
      </c>
      <c r="G245" s="935">
        <f t="shared" si="8"/>
        <v>0</v>
      </c>
      <c r="H245" s="938">
        <f t="shared" si="9"/>
        <v>0</v>
      </c>
      <c r="I245" s="502">
        <f t="shared" si="10"/>
        <v>0</v>
      </c>
      <c r="J245" s="502"/>
      <c r="K245" s="627"/>
      <c r="L245" s="508"/>
      <c r="M245" s="627"/>
      <c r="N245" s="508"/>
      <c r="O245" s="508"/>
    </row>
    <row r="246" spans="3:15">
      <c r="C246" s="498">
        <f>IF(D184="","-",+C245+1)</f>
        <v>2081</v>
      </c>
      <c r="D246" s="462">
        <f t="shared" si="7"/>
        <v>0</v>
      </c>
      <c r="E246" s="505">
        <f t="shared" si="11"/>
        <v>0</v>
      </c>
      <c r="F246" s="462">
        <f t="shared" si="6"/>
        <v>0</v>
      </c>
      <c r="G246" s="935">
        <f t="shared" si="8"/>
        <v>0</v>
      </c>
      <c r="H246" s="938">
        <f t="shared" si="9"/>
        <v>0</v>
      </c>
      <c r="I246" s="502">
        <f t="shared" si="10"/>
        <v>0</v>
      </c>
      <c r="J246" s="502"/>
      <c r="K246" s="627"/>
      <c r="L246" s="508"/>
      <c r="M246" s="627"/>
      <c r="N246" s="508"/>
      <c r="O246" s="508"/>
    </row>
    <row r="247" spans="3:15">
      <c r="C247" s="498">
        <f>IF(D184="","-",+C246+1)</f>
        <v>2082</v>
      </c>
      <c r="D247" s="462">
        <f t="shared" si="7"/>
        <v>0</v>
      </c>
      <c r="E247" s="505">
        <f t="shared" si="11"/>
        <v>0</v>
      </c>
      <c r="F247" s="462">
        <f t="shared" si="6"/>
        <v>0</v>
      </c>
      <c r="G247" s="935">
        <f t="shared" si="8"/>
        <v>0</v>
      </c>
      <c r="H247" s="938">
        <f t="shared" si="9"/>
        <v>0</v>
      </c>
      <c r="I247" s="502">
        <f t="shared" si="10"/>
        <v>0</v>
      </c>
      <c r="J247" s="502"/>
      <c r="K247" s="627"/>
      <c r="L247" s="508"/>
      <c r="M247" s="627"/>
      <c r="N247" s="508"/>
      <c r="O247" s="508"/>
    </row>
    <row r="248" spans="3:15">
      <c r="C248" s="498">
        <f>IF(D184="","-",+C247+1)</f>
        <v>2083</v>
      </c>
      <c r="D248" s="462">
        <f t="shared" si="7"/>
        <v>0</v>
      </c>
      <c r="E248" s="505">
        <f t="shared" si="11"/>
        <v>0</v>
      </c>
      <c r="F248" s="462">
        <f t="shared" si="6"/>
        <v>0</v>
      </c>
      <c r="G248" s="935">
        <f t="shared" si="8"/>
        <v>0</v>
      </c>
      <c r="H248" s="938">
        <f t="shared" si="9"/>
        <v>0</v>
      </c>
      <c r="I248" s="502">
        <f t="shared" si="10"/>
        <v>0</v>
      </c>
      <c r="J248" s="502"/>
      <c r="K248" s="627"/>
      <c r="L248" s="508"/>
      <c r="M248" s="627"/>
      <c r="N248" s="508"/>
      <c r="O248" s="508"/>
    </row>
    <row r="249" spans="3:15" ht="13.5" thickBot="1">
      <c r="C249" s="509">
        <f>IF(D184="","-",+C248+1)</f>
        <v>2084</v>
      </c>
      <c r="D249" s="510">
        <f t="shared" si="7"/>
        <v>0</v>
      </c>
      <c r="E249" s="505">
        <f t="shared" si="11"/>
        <v>0</v>
      </c>
      <c r="F249" s="510">
        <f t="shared" si="6"/>
        <v>0</v>
      </c>
      <c r="G249" s="945">
        <f t="shared" si="8"/>
        <v>0</v>
      </c>
      <c r="H249" s="945">
        <f t="shared" si="9"/>
        <v>0</v>
      </c>
      <c r="I249" s="513">
        <f t="shared" si="10"/>
        <v>0</v>
      </c>
      <c r="J249" s="502"/>
      <c r="K249" s="628"/>
      <c r="L249" s="515"/>
      <c r="M249" s="628"/>
      <c r="N249" s="515"/>
      <c r="O249" s="515"/>
    </row>
    <row r="250" spans="3:15">
      <c r="C250" s="462" t="s">
        <v>288</v>
      </c>
      <c r="D250" s="915"/>
      <c r="E250" s="462"/>
      <c r="F250" s="915"/>
      <c r="G250" s="915">
        <f>SUM(G190:G249)</f>
        <v>372698.03413423157</v>
      </c>
      <c r="H250" s="915">
        <f>SUM(H190:H249)</f>
        <v>372698.03413423157</v>
      </c>
      <c r="I250" s="915">
        <f>SUM(I190:I249)</f>
        <v>0</v>
      </c>
      <c r="J250" s="915"/>
      <c r="K250" s="915"/>
      <c r="L250" s="915"/>
      <c r="M250" s="915"/>
      <c r="N250" s="915"/>
      <c r="O250" s="3"/>
    </row>
    <row r="251" spans="3:15">
      <c r="D251" s="76"/>
      <c r="E251" s="3"/>
      <c r="F251" s="3"/>
      <c r="G251" s="3"/>
      <c r="H251" s="914"/>
      <c r="I251" s="914"/>
      <c r="J251" s="915"/>
      <c r="K251" s="914"/>
      <c r="L251" s="914"/>
      <c r="M251" s="914"/>
      <c r="N251" s="914"/>
      <c r="O251" s="3"/>
    </row>
    <row r="252" spans="3:15">
      <c r="C252" s="3" t="s">
        <v>597</v>
      </c>
      <c r="D252" s="76"/>
      <c r="E252" s="3"/>
      <c r="F252" s="3"/>
      <c r="G252" s="3"/>
      <c r="H252" s="914"/>
      <c r="I252" s="914"/>
      <c r="J252" s="915"/>
      <c r="K252" s="914"/>
      <c r="L252" s="914"/>
      <c r="M252" s="914"/>
      <c r="N252" s="914"/>
      <c r="O252" s="3"/>
    </row>
    <row r="253" spans="3:15">
      <c r="C253" s="3"/>
      <c r="D253" s="76"/>
      <c r="E253" s="3"/>
      <c r="F253" s="3"/>
      <c r="G253" s="3"/>
      <c r="H253" s="914"/>
      <c r="I253" s="914"/>
      <c r="J253" s="915"/>
      <c r="K253" s="914"/>
      <c r="L253" s="914"/>
      <c r="M253" s="914"/>
      <c r="N253" s="914"/>
      <c r="O253" s="3"/>
    </row>
    <row r="254" spans="3:15">
      <c r="C254" s="472" t="s">
        <v>883</v>
      </c>
      <c r="D254" s="462"/>
      <c r="E254" s="462"/>
      <c r="F254" s="462"/>
      <c r="G254" s="953"/>
      <c r="H254" s="915"/>
      <c r="I254" s="464"/>
      <c r="J254" s="464"/>
      <c r="K254" s="464"/>
      <c r="L254" s="956"/>
      <c r="M254" s="464"/>
      <c r="N254" s="464"/>
      <c r="O254" s="3"/>
    </row>
    <row r="255" spans="3:15">
      <c r="C255" s="472" t="s">
        <v>476</v>
      </c>
      <c r="D255" s="462"/>
      <c r="E255" s="462"/>
      <c r="F255" s="462"/>
      <c r="G255" s="915"/>
      <c r="H255" s="915"/>
      <c r="I255" s="464"/>
      <c r="J255" s="464"/>
      <c r="K255" s="464"/>
      <c r="L255" s="464"/>
      <c r="M255" s="464"/>
      <c r="N255" s="464"/>
      <c r="O255" s="3"/>
    </row>
    <row r="256" spans="3:15">
      <c r="C256" s="463" t="s">
        <v>289</v>
      </c>
      <c r="D256" s="462"/>
      <c r="E256" s="462"/>
      <c r="F256" s="462"/>
      <c r="G256" s="915"/>
      <c r="H256" s="915"/>
      <c r="I256" s="464"/>
      <c r="J256" s="464"/>
      <c r="K256" s="464"/>
      <c r="L256" s="464"/>
      <c r="M256" s="464"/>
      <c r="N256" s="464"/>
      <c r="O256" s="3"/>
    </row>
    <row r="257" spans="3:15">
      <c r="C257" s="463"/>
      <c r="D257" s="462"/>
      <c r="E257" s="462"/>
      <c r="F257" s="462"/>
      <c r="G257" s="915"/>
      <c r="H257" s="915"/>
      <c r="I257" s="464"/>
      <c r="J257" s="464"/>
      <c r="K257" s="464"/>
      <c r="L257" s="464"/>
      <c r="M257" s="464"/>
      <c r="N257" s="464"/>
      <c r="O257" s="3"/>
    </row>
    <row r="258" spans="3:15">
      <c r="C258" s="1299" t="s">
        <v>460</v>
      </c>
      <c r="D258" s="1299"/>
      <c r="E258" s="1299"/>
      <c r="F258" s="1299"/>
      <c r="G258" s="1299"/>
      <c r="H258" s="1299"/>
      <c r="I258" s="1299"/>
      <c r="J258" s="1299"/>
      <c r="K258" s="1299"/>
      <c r="L258" s="1299"/>
      <c r="M258" s="1299"/>
      <c r="N258" s="1299"/>
      <c r="O258" s="1299"/>
    </row>
    <row r="259" spans="3:15">
      <c r="C259" s="1299"/>
      <c r="D259" s="1299"/>
      <c r="E259" s="1299"/>
      <c r="F259" s="1299"/>
      <c r="G259" s="1299"/>
      <c r="H259" s="1299"/>
      <c r="I259" s="1299"/>
      <c r="J259" s="1299"/>
      <c r="K259" s="1299"/>
      <c r="L259" s="1299"/>
      <c r="M259" s="1299"/>
      <c r="N259" s="1299"/>
      <c r="O259" s="1299"/>
    </row>
    <row r="260" spans="3:15">
      <c r="H260" s="946"/>
    </row>
  </sheetData>
  <mergeCells count="12">
    <mergeCell ref="K183:O183"/>
    <mergeCell ref="C258:O259"/>
    <mergeCell ref="D89:G89"/>
    <mergeCell ref="K93:O93"/>
    <mergeCell ref="C168:O169"/>
    <mergeCell ref="D179:H180"/>
    <mergeCell ref="K22:O23"/>
    <mergeCell ref="A3:O3"/>
    <mergeCell ref="C11:H12"/>
    <mergeCell ref="A4:O4"/>
    <mergeCell ref="A5:O5"/>
    <mergeCell ref="A6:O6"/>
  </mergeCells>
  <phoneticPr fontId="0" type="noConversion"/>
  <conditionalFormatting sqref="C100:C159">
    <cfRule type="cellIs" dxfId="15" priority="21" stopIfTrue="1" operator="equal">
      <formula>$I$93</formula>
    </cfRule>
  </conditionalFormatting>
  <conditionalFormatting sqref="C190:C249">
    <cfRule type="cellIs" dxfId="14" priority="1" stopIfTrue="1" operator="equal">
      <formula>$I$93</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0" max="16383" man="1"/>
    <brk id="1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9"/>
  <sheetViews>
    <sheetView view="pageBreakPreview" topLeftCell="A88" zoomScale="85" zoomScaleNormal="100" zoomScaleSheetLayoutView="85" workbookViewId="0"/>
  </sheetViews>
  <sheetFormatPr defaultColWidth="8.85546875" defaultRowHeight="12.75"/>
  <cols>
    <col min="1" max="1" width="4.7109375" customWidth="1"/>
    <col min="2" max="2" width="6.7109375" customWidth="1"/>
    <col min="3" max="3" width="32.28515625" customWidth="1"/>
    <col min="4" max="4" width="17.7109375" style="1" customWidth="1"/>
    <col min="5" max="8" width="17.7109375" customWidth="1"/>
    <col min="9" max="9" width="17.7109375" style="403" customWidth="1"/>
    <col min="10" max="10" width="17.7109375" bestFit="1" customWidth="1"/>
    <col min="11" max="11" width="2.140625" customWidth="1"/>
    <col min="12" max="12" width="17.7109375" style="3" customWidth="1"/>
    <col min="13" max="13" width="31.85546875" style="3" customWidth="1"/>
    <col min="14" max="15" width="17.7109375" style="3" customWidth="1"/>
    <col min="16" max="16" width="16.7109375" style="3" customWidth="1"/>
    <col min="17" max="17" width="2.140625" style="3" customWidth="1"/>
  </cols>
  <sheetData>
    <row r="1" spans="1:17" ht="15.75">
      <c r="A1" s="645" t="s">
        <v>620</v>
      </c>
    </row>
    <row r="2" spans="1:17" ht="15.75">
      <c r="A2" s="645" t="s">
        <v>621</v>
      </c>
    </row>
    <row r="3" spans="1:17" ht="15">
      <c r="A3" s="1251" t="s">
        <v>387</v>
      </c>
      <c r="B3" s="1251"/>
      <c r="C3" s="1251"/>
      <c r="D3" s="1251"/>
      <c r="E3" s="1251"/>
      <c r="F3" s="1251"/>
      <c r="G3" s="1251"/>
      <c r="H3" s="1251"/>
      <c r="I3" s="1251"/>
      <c r="J3" s="1251"/>
      <c r="K3" s="1251"/>
      <c r="L3" s="1251"/>
      <c r="M3" s="1251"/>
      <c r="N3" s="1251"/>
      <c r="O3" s="1251"/>
      <c r="P3" s="1251"/>
    </row>
    <row r="4" spans="1:17" ht="15">
      <c r="A4" s="1252" t="str">
        <f>"Cost of Service Formula Rate Using "&amp;TCOS!L4&amp;" FF1 Balances"</f>
        <v>Cost of Service Formula Rate Using 2026 FF1 Balances</v>
      </c>
      <c r="B4" s="1252"/>
      <c r="C4" s="1252"/>
      <c r="D4" s="1252"/>
      <c r="E4" s="1252"/>
      <c r="F4" s="1252"/>
      <c r="G4" s="1252"/>
      <c r="H4" s="1252"/>
      <c r="I4" s="1252"/>
      <c r="J4" s="1252"/>
      <c r="K4" s="1252"/>
      <c r="L4" s="1252"/>
      <c r="M4" s="1252"/>
      <c r="N4" s="1252"/>
      <c r="O4" s="1252"/>
      <c r="P4" s="1252"/>
    </row>
    <row r="5" spans="1:17" ht="15">
      <c r="A5" s="1252" t="s">
        <v>469</v>
      </c>
      <c r="B5" s="1252"/>
      <c r="C5" s="1252"/>
      <c r="D5" s="1252"/>
      <c r="E5" s="1252"/>
      <c r="F5" s="1252"/>
      <c r="G5" s="1252"/>
      <c r="H5" s="1252"/>
      <c r="I5" s="1252"/>
      <c r="J5" s="1252"/>
      <c r="K5" s="1252"/>
      <c r="L5" s="1252"/>
      <c r="M5" s="1252"/>
      <c r="N5" s="1252"/>
      <c r="O5" s="1252"/>
      <c r="P5" s="1252"/>
    </row>
    <row r="6" spans="1:17" ht="15">
      <c r="A6" s="1260" t="str">
        <f>TCOS!F9</f>
        <v>WHEELING POWER COMPANY</v>
      </c>
      <c r="B6" s="1260"/>
      <c r="C6" s="1260"/>
      <c r="D6" s="1260"/>
      <c r="E6" s="1260"/>
      <c r="F6" s="1260"/>
      <c r="G6" s="1260"/>
      <c r="H6" s="1260"/>
      <c r="I6" s="1260"/>
      <c r="J6" s="1260"/>
      <c r="K6" s="1260"/>
      <c r="L6" s="1260"/>
      <c r="M6" s="1260"/>
      <c r="N6" s="1260"/>
      <c r="O6" s="1260"/>
      <c r="P6" s="1260"/>
    </row>
    <row r="8" spans="1:17" ht="20.25">
      <c r="A8" s="404"/>
      <c r="O8" s="10" t="str">
        <f>"Page "&amp;Q8&amp;" of "</f>
        <v xml:space="preserve">Page 1 of </v>
      </c>
      <c r="P8" s="405">
        <f>COUNT(Q$8:Q$58122)</f>
        <v>2</v>
      </c>
      <c r="Q8" s="10">
        <v>1</v>
      </c>
    </row>
    <row r="9" spans="1:17" ht="18">
      <c r="C9" s="13"/>
    </row>
    <row r="11" spans="1:17" ht="18">
      <c r="B11" s="406" t="s">
        <v>171</v>
      </c>
      <c r="C11" s="1296" t="str">
        <f>"Calculate Return and Income Taxes with "&amp;F17&amp;" basis point ROE increase for Projects Qualified for Regional Billing."</f>
        <v>Calculate Return and Income Taxes with 0 basis point ROE increase for Projects Qualified for Regional Billing.</v>
      </c>
      <c r="D11" s="1297"/>
      <c r="E11" s="1297"/>
      <c r="F11" s="1297"/>
      <c r="G11" s="1297"/>
      <c r="H11" s="1297"/>
      <c r="I11" s="1297"/>
    </row>
    <row r="12" spans="1:17" ht="18.75" customHeight="1">
      <c r="C12" s="1297"/>
      <c r="D12" s="1297"/>
      <c r="E12" s="1297"/>
      <c r="F12" s="1297"/>
      <c r="G12" s="1297"/>
      <c r="H12" s="1297"/>
      <c r="I12" s="1297"/>
    </row>
    <row r="13" spans="1:17" ht="15.75" customHeight="1">
      <c r="C13" s="12"/>
      <c r="D13" s="12"/>
      <c r="E13" s="12"/>
      <c r="F13" s="12"/>
      <c r="G13" s="12"/>
      <c r="H13" s="12"/>
      <c r="I13" s="12"/>
    </row>
    <row r="14" spans="1:17" ht="15.75">
      <c r="C14" s="407" t="str">
        <f>"A.   Determine 'R' with hypothetical "&amp;F17&amp;" basis point increase in ROE for Identified Projects"</f>
        <v>A.   Determine 'R' with hypothetical 0 basis point increase in ROE for Identified Projects</v>
      </c>
      <c r="D14" s="277"/>
    </row>
    <row r="15" spans="1:17">
      <c r="C15" s="67"/>
      <c r="D15" s="277"/>
    </row>
    <row r="16" spans="1:17">
      <c r="C16" s="408" t="str">
        <f>"   ROE w/o incentives  (TCOS, ln "&amp;TCOS!B273&amp;")"</f>
        <v xml:space="preserve">   ROE w/o incentives  (TCOS, ln 156)</v>
      </c>
      <c r="D16" s="277"/>
      <c r="E16" s="409"/>
      <c r="F16" s="517">
        <f>TCOS!J273</f>
        <v>0.10349999999999999</v>
      </c>
      <c r="G16" s="517"/>
      <c r="H16" s="409"/>
      <c r="I16" s="411"/>
      <c r="J16" s="411"/>
      <c r="K16" s="411"/>
      <c r="L16" s="411"/>
      <c r="M16" s="411"/>
      <c r="N16" s="411"/>
      <c r="O16" s="411"/>
      <c r="P16" s="411"/>
      <c r="Q16" s="411"/>
    </row>
    <row r="17" spans="3:17" ht="13.5" thickBot="1">
      <c r="C17" s="408" t="s">
        <v>252</v>
      </c>
      <c r="D17" s="277"/>
      <c r="E17" s="409"/>
      <c r="F17" s="619">
        <v>0</v>
      </c>
      <c r="G17" s="409"/>
      <c r="H17" s="409"/>
      <c r="I17" s="411"/>
      <c r="J17" s="411"/>
      <c r="K17" s="411"/>
      <c r="L17" s="411"/>
      <c r="M17" s="411"/>
      <c r="N17" s="411"/>
      <c r="O17" s="411"/>
      <c r="P17" s="411"/>
      <c r="Q17" s="411"/>
    </row>
    <row r="18" spans="3:17">
      <c r="C18" s="408" t="str">
        <f>"   ROE with additional "&amp;F17&amp;" basis point incentive"</f>
        <v xml:space="preserve">   ROE with additional 0 basis point incentive</v>
      </c>
      <c r="D18" s="409"/>
      <c r="E18" s="409"/>
      <c r="F18" s="412">
        <f>IF((F16+(F17/10000)&gt;0.125),"ERROR",F16+(F17/10000))</f>
        <v>0.10349999999999999</v>
      </c>
      <c r="G18" s="413"/>
      <c r="H18" s="409"/>
      <c r="I18" s="411"/>
      <c r="J18" s="411"/>
      <c r="K18" s="411"/>
      <c r="L18" s="518" t="s">
        <v>454</v>
      </c>
      <c r="M18" s="519"/>
      <c r="N18" s="519"/>
      <c r="O18" s="519"/>
      <c r="P18" s="520"/>
      <c r="Q18" s="411"/>
    </row>
    <row r="19" spans="3:17">
      <c r="C19" s="408"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77"/>
      <c r="E19" s="409"/>
      <c r="F19" s="414"/>
      <c r="G19" s="414"/>
      <c r="H19" s="409"/>
      <c r="I19" s="411"/>
      <c r="J19" s="411"/>
      <c r="K19" s="411"/>
      <c r="L19" s="521"/>
      <c r="M19" s="411"/>
      <c r="N19" s="411" t="s">
        <v>254</v>
      </c>
      <c r="O19" s="411" t="s">
        <v>255</v>
      </c>
      <c r="P19" s="522" t="s">
        <v>256</v>
      </c>
      <c r="Q19" s="411"/>
    </row>
    <row r="20" spans="3:17">
      <c r="C20" s="411"/>
      <c r="D20" s="415" t="s">
        <v>146</v>
      </c>
      <c r="E20" s="415" t="s">
        <v>145</v>
      </c>
      <c r="F20" s="416" t="s">
        <v>253</v>
      </c>
      <c r="G20" s="416"/>
      <c r="H20" s="409"/>
      <c r="I20" s="411"/>
      <c r="J20" s="411"/>
      <c r="K20" s="411"/>
      <c r="L20" s="521" t="s">
        <v>452</v>
      </c>
      <c r="M20" s="523">
        <f>+TCOS!L4</f>
        <v>2026</v>
      </c>
      <c r="P20" s="524"/>
      <c r="Q20" s="411"/>
    </row>
    <row r="21" spans="3:17">
      <c r="C21" s="417" t="s">
        <v>257</v>
      </c>
      <c r="D21" s="525">
        <f>TCOS!H271</f>
        <v>0.49095237207876213</v>
      </c>
      <c r="E21" s="418">
        <f>TCOS!J271</f>
        <v>5.7081555171144889E-2</v>
      </c>
      <c r="F21" s="419">
        <f>E21*D21</f>
        <v>2.8024324913218313E-2</v>
      </c>
      <c r="G21" s="419"/>
      <c r="H21" s="409"/>
      <c r="I21" s="411"/>
      <c r="J21" s="420"/>
      <c r="K21" s="420"/>
      <c r="L21" s="480"/>
      <c r="M21" s="526" t="s">
        <v>453</v>
      </c>
      <c r="N21" s="629" t="e">
        <f>M90+#REF!+#REF!+#REF!+#REF!+#REF!+#REF!+#REF!+#REF!</f>
        <v>#N/A</v>
      </c>
      <c r="O21" s="629" t="e">
        <f>N90+#REF!+#REF!+#REF!+#REF!+#REF!+#REF!+#REF!+#REF!</f>
        <v>#N/A</v>
      </c>
      <c r="P21" s="527" t="e">
        <f>+O21-N21</f>
        <v>#N/A</v>
      </c>
      <c r="Q21" s="420"/>
    </row>
    <row r="22" spans="3:17" ht="13.5" thickBot="1">
      <c r="C22" s="417" t="s">
        <v>258</v>
      </c>
      <c r="D22" s="525">
        <f>TCOS!H272</f>
        <v>0</v>
      </c>
      <c r="E22" s="418">
        <f>TCOS!J272</f>
        <v>0</v>
      </c>
      <c r="F22" s="419">
        <f>E22*D22</f>
        <v>0</v>
      </c>
      <c r="G22" s="419"/>
      <c r="H22" s="421"/>
      <c r="I22" s="421"/>
      <c r="J22" s="422"/>
      <c r="K22" s="422"/>
      <c r="L22" s="480"/>
      <c r="M22" s="526" t="s">
        <v>259</v>
      </c>
      <c r="N22" s="630" t="e">
        <f>M91+#REF!+#REF!+#REF!+#REF!+#REF!+#REF!+#REF!+#REF!</f>
        <v>#N/A</v>
      </c>
      <c r="O22" s="630" t="e">
        <f>N91+#REF!+#REF!+#REF!+#REF!+#REF!+#REF!+#REF!+#REF!</f>
        <v>#N/A</v>
      </c>
      <c r="P22" s="528" t="e">
        <f>+O22-N22</f>
        <v>#N/A</v>
      </c>
      <c r="Q22" s="422"/>
    </row>
    <row r="23" spans="3:17">
      <c r="C23" s="417" t="s">
        <v>244</v>
      </c>
      <c r="D23" s="525">
        <f>TCOS!H273</f>
        <v>0.50904762792123781</v>
      </c>
      <c r="E23" s="418">
        <f>+F18</f>
        <v>0.10349999999999999</v>
      </c>
      <c r="F23" s="423">
        <f>E23*D23</f>
        <v>5.2686429489848113E-2</v>
      </c>
      <c r="G23" s="423"/>
      <c r="H23" s="421"/>
      <c r="I23" s="421"/>
      <c r="J23" s="422"/>
      <c r="K23" s="422"/>
      <c r="L23" s="480"/>
      <c r="M23" s="526" t="str">
        <f>"True-up of ARR For "&amp;TCOS!L4&amp;""</f>
        <v>True-up of ARR For 2026</v>
      </c>
      <c r="N23" s="462" t="e">
        <f>+N22-N21</f>
        <v>#N/A</v>
      </c>
      <c r="O23" s="462" t="e">
        <f>+O22-O21</f>
        <v>#N/A</v>
      </c>
      <c r="P23" s="529" t="e">
        <f>+P22-P21</f>
        <v>#N/A</v>
      </c>
      <c r="Q23" s="422"/>
    </row>
    <row r="24" spans="3:17">
      <c r="C24" s="408"/>
      <c r="D24"/>
      <c r="E24" s="424" t="s">
        <v>260</v>
      </c>
      <c r="F24" s="419">
        <f>SUM(F21:F23)</f>
        <v>8.0710754403066423E-2</v>
      </c>
      <c r="G24" s="419"/>
      <c r="H24" s="421"/>
      <c r="I24" s="421"/>
      <c r="J24" s="422"/>
      <c r="K24" s="422"/>
      <c r="L24" s="480"/>
      <c r="P24" s="524"/>
      <c r="Q24" s="422"/>
    </row>
    <row r="25" spans="3:17" ht="13.5" thickBot="1">
      <c r="C25" s="67"/>
      <c r="D25" s="429"/>
      <c r="E25" s="429"/>
      <c r="F25" s="421"/>
      <c r="G25" s="421"/>
      <c r="H25" s="421"/>
      <c r="I25" s="421"/>
      <c r="J25" s="421"/>
      <c r="K25" s="421"/>
      <c r="L25" s="530"/>
      <c r="M25" s="531"/>
      <c r="N25" s="532"/>
      <c r="O25" s="532"/>
      <c r="P25" s="528"/>
      <c r="Q25" s="421"/>
    </row>
    <row r="26" spans="3:17" ht="15.75">
      <c r="C26" s="407" t="str">
        <f>"B.   Determine Return using 'R' with hypothetical "&amp;F17&amp;" basis point ROE increase for Identified Projects."</f>
        <v>B.   Determine Return using 'R' with hypothetical 0 basis point ROE increase for Identified Projects.</v>
      </c>
      <c r="D26" s="429"/>
      <c r="E26" s="429"/>
      <c r="F26" s="421"/>
      <c r="G26" s="421"/>
      <c r="H26" s="421"/>
      <c r="I26" s="409"/>
      <c r="J26" s="421"/>
      <c r="K26" s="421"/>
      <c r="L26" s="421"/>
      <c r="M26" s="421"/>
      <c r="N26" s="421"/>
      <c r="O26" s="421"/>
      <c r="P26" s="421"/>
      <c r="Q26" s="421"/>
    </row>
    <row r="27" spans="3:17">
      <c r="C27" s="411"/>
      <c r="D27" s="429"/>
      <c r="E27" s="429"/>
      <c r="F27" s="421"/>
      <c r="G27" s="421"/>
      <c r="H27" s="421"/>
      <c r="I27" s="421"/>
      <c r="J27" s="421"/>
      <c r="K27" s="421"/>
      <c r="L27" s="421"/>
      <c r="M27" s="421"/>
      <c r="N27" s="421"/>
      <c r="O27" s="421"/>
      <c r="P27" s="421"/>
      <c r="Q27" s="421"/>
    </row>
    <row r="28" spans="3:17">
      <c r="C28" s="436" t="str">
        <f>"   Rate Base  (TCOS, ln "&amp;TCOS!B131&amp;")"</f>
        <v xml:space="preserve">   Rate Base  (TCOS, ln 68)</v>
      </c>
      <c r="D28" s="409"/>
      <c r="E28" s="437">
        <f>TCOS!L131</f>
        <v>128810747.86028461</v>
      </c>
      <c r="F28" s="444"/>
      <c r="G28" s="444"/>
      <c r="H28" s="421"/>
      <c r="I28" s="421"/>
      <c r="J28" s="421"/>
      <c r="K28" s="421"/>
      <c r="L28" s="421"/>
      <c r="M28" s="421"/>
      <c r="N28" s="421"/>
      <c r="O28" s="421"/>
      <c r="P28" s="444"/>
      <c r="Q28" s="421"/>
    </row>
    <row r="29" spans="3:17">
      <c r="C29" s="411" t="s">
        <v>474</v>
      </c>
      <c r="D29" s="439"/>
      <c r="E29" s="419">
        <f>F24</f>
        <v>8.0710754403066423E-2</v>
      </c>
      <c r="F29" s="421"/>
      <c r="G29" s="421"/>
      <c r="H29" s="421"/>
      <c r="I29" s="421"/>
      <c r="J29" s="421"/>
      <c r="K29" s="421"/>
      <c r="L29" s="421"/>
      <c r="M29" s="421"/>
      <c r="N29" s="421"/>
      <c r="O29" s="421"/>
      <c r="P29" s="421"/>
      <c r="Q29" s="421"/>
    </row>
    <row r="30" spans="3:17">
      <c r="C30" s="440" t="s">
        <v>262</v>
      </c>
      <c r="D30" s="440"/>
      <c r="E30" s="422">
        <f>E28*E29</f>
        <v>10396412.635026745</v>
      </c>
      <c r="F30" s="421"/>
      <c r="G30" s="421"/>
      <c r="H30" s="421"/>
      <c r="I30" s="421"/>
      <c r="J30" s="422"/>
      <c r="K30" s="422"/>
      <c r="L30" s="422"/>
      <c r="M30" s="422"/>
      <c r="N30" s="422"/>
      <c r="O30" s="422"/>
      <c r="P30" s="421"/>
      <c r="Q30" s="422"/>
    </row>
    <row r="31" spans="3:17">
      <c r="C31" s="440"/>
      <c r="D31" s="411"/>
      <c r="E31" s="411"/>
      <c r="F31" s="421"/>
      <c r="G31" s="421"/>
      <c r="H31" s="421"/>
      <c r="I31" s="421"/>
      <c r="J31" s="422"/>
      <c r="K31" s="422"/>
      <c r="L31" s="422"/>
      <c r="M31" s="422"/>
      <c r="N31" s="422"/>
      <c r="O31" s="422"/>
      <c r="P31" s="421"/>
      <c r="Q31" s="422"/>
    </row>
    <row r="32" spans="3:17" ht="15.75">
      <c r="C32" s="407" t="str">
        <f>"C.   Determine Income Taxes using Return with hypothetical "&amp;F17&amp;" basis point ROE increase for Identified Projects."</f>
        <v>C.   Determine Income Taxes using Return with hypothetical 0 basis point ROE increase for Identified Projects.</v>
      </c>
      <c r="D32" s="441"/>
      <c r="E32" s="441"/>
      <c r="F32" s="442"/>
      <c r="G32" s="442"/>
      <c r="H32" s="442"/>
      <c r="I32" s="442"/>
      <c r="J32" s="443"/>
      <c r="K32" s="443"/>
      <c r="L32" s="443"/>
      <c r="M32" s="443"/>
      <c r="N32" s="443"/>
      <c r="O32" s="443"/>
      <c r="P32" s="442"/>
      <c r="Q32" s="443"/>
    </row>
    <row r="33" spans="2:17">
      <c r="C33" s="408"/>
      <c r="D33" s="411"/>
      <c r="E33" s="411"/>
      <c r="F33" s="421"/>
      <c r="G33" s="421"/>
      <c r="H33" s="421"/>
      <c r="I33" s="421"/>
      <c r="J33" s="422"/>
      <c r="K33" s="422"/>
      <c r="L33" s="422"/>
      <c r="M33" s="422"/>
      <c r="N33" s="422"/>
      <c r="O33" s="422"/>
      <c r="P33" s="421"/>
      <c r="Q33" s="422"/>
    </row>
    <row r="34" spans="2:17">
      <c r="C34" s="411" t="s">
        <v>263</v>
      </c>
      <c r="D34" s="424"/>
      <c r="E34" s="444">
        <f>E30</f>
        <v>10396412.635026745</v>
      </c>
      <c r="F34" s="421"/>
      <c r="G34" s="421"/>
      <c r="H34" s="421"/>
      <c r="I34" s="421"/>
      <c r="J34" s="421"/>
      <c r="K34" s="421"/>
      <c r="L34" s="421"/>
      <c r="M34" s="421"/>
      <c r="N34" s="421"/>
      <c r="O34" s="421"/>
      <c r="P34" s="421"/>
      <c r="Q34" s="421"/>
    </row>
    <row r="35" spans="2:17">
      <c r="C35" s="436" t="str">
        <f>"   Effective Tax Rate  (TCOS, ln "&amp;TCOS!B198&amp;")"</f>
        <v xml:space="preserve">   Effective Tax Rate  (TCOS, ln 114)</v>
      </c>
      <c r="D35" s="76"/>
      <c r="E35" s="78">
        <f>TCOS!G198</f>
        <v>0.23068418946574765</v>
      </c>
      <c r="F35" s="3"/>
      <c r="G35" s="3"/>
      <c r="H35" s="3"/>
      <c r="I35" s="445"/>
      <c r="J35" s="3"/>
      <c r="K35" s="3"/>
    </row>
    <row r="36" spans="2:17">
      <c r="C36" s="440" t="s">
        <v>264</v>
      </c>
      <c r="D36" s="76"/>
      <c r="E36" s="446">
        <f>E34*E35</f>
        <v>2398288.0220626025</v>
      </c>
      <c r="F36" s="3"/>
      <c r="G36" s="3"/>
      <c r="H36" s="3"/>
      <c r="I36" s="445"/>
      <c r="J36" s="3"/>
      <c r="K36" s="3"/>
    </row>
    <row r="37" spans="2:17" ht="15">
      <c r="C37" s="408" t="s">
        <v>302</v>
      </c>
      <c r="D37" s="244"/>
      <c r="E37" s="421">
        <f>TCOS!L207</f>
        <v>0</v>
      </c>
      <c r="F37" s="244"/>
      <c r="G37" s="244"/>
      <c r="H37" s="244"/>
      <c r="I37" s="244"/>
      <c r="J37" s="244"/>
      <c r="K37" s="244"/>
      <c r="L37" s="244"/>
      <c r="M37" s="244"/>
      <c r="N37" s="244"/>
      <c r="O37" s="244"/>
      <c r="P37" s="258"/>
      <c r="Q37" s="244"/>
    </row>
    <row r="38" spans="2:17" ht="15">
      <c r="C38" s="408" t="s">
        <v>532</v>
      </c>
      <c r="D38" s="244"/>
      <c r="E38" s="421">
        <f>TCOS!L208</f>
        <v>-168742.87949307778</v>
      </c>
      <c r="F38" s="244"/>
      <c r="G38" s="244"/>
      <c r="H38" s="244"/>
      <c r="I38" s="244"/>
      <c r="J38" s="244"/>
      <c r="K38" s="244"/>
      <c r="L38" s="244"/>
      <c r="M38" s="244"/>
      <c r="N38" s="244"/>
      <c r="O38" s="244"/>
      <c r="P38" s="258"/>
      <c r="Q38" s="244"/>
    </row>
    <row r="39" spans="2:17" ht="15">
      <c r="C39" s="408" t="s">
        <v>533</v>
      </c>
      <c r="D39" s="244"/>
      <c r="E39" s="447">
        <f>TCOS!L209</f>
        <v>28931.255264909352</v>
      </c>
      <c r="F39" s="244"/>
      <c r="G39" s="244"/>
      <c r="H39" s="244"/>
      <c r="I39" s="244"/>
      <c r="J39" s="244"/>
      <c r="K39" s="244"/>
      <c r="L39" s="244"/>
      <c r="M39" s="244"/>
      <c r="N39" s="244"/>
      <c r="O39" s="244"/>
      <c r="P39" s="258"/>
      <c r="Q39" s="244"/>
    </row>
    <row r="40" spans="2:17" ht="15">
      <c r="C40" s="440" t="s">
        <v>265</v>
      </c>
      <c r="D40" s="244"/>
      <c r="E40" s="421">
        <f>E36+E37+E38+E39</f>
        <v>2258476.3978344342</v>
      </c>
      <c r="F40" s="244"/>
      <c r="G40" s="244"/>
      <c r="H40" s="244"/>
      <c r="I40" s="244"/>
      <c r="J40" s="244"/>
      <c r="K40" s="244"/>
      <c r="L40" s="244"/>
      <c r="M40" s="244"/>
      <c r="N40" s="244"/>
      <c r="O40" s="244"/>
      <c r="P40" s="257"/>
      <c r="Q40" s="244"/>
    </row>
    <row r="41" spans="2:17" ht="12.75" customHeight="1">
      <c r="C41" s="241"/>
      <c r="D41" s="244"/>
      <c r="E41" s="244"/>
      <c r="F41" s="244"/>
      <c r="G41" s="244"/>
      <c r="H41" s="244"/>
      <c r="I41" s="244"/>
      <c r="J41" s="244"/>
      <c r="K41" s="244"/>
      <c r="L41" s="244"/>
      <c r="M41" s="244"/>
      <c r="N41" s="244"/>
      <c r="O41" s="244"/>
      <c r="P41" s="257"/>
      <c r="Q41" s="244"/>
    </row>
    <row r="42" spans="2:17" ht="18.75">
      <c r="B42" s="406" t="s">
        <v>172</v>
      </c>
      <c r="C42" s="13" t="str">
        <f>"Calculate Net Plant Carrying Charge Rate (Fixed Charge Rate or FCR) with hypothetical "&amp;F17&amp;""</f>
        <v>Calculate Net Plant Carrying Charge Rate (Fixed Charge Rate or FCR) with hypothetical 0</v>
      </c>
      <c r="D42" s="244"/>
      <c r="E42" s="244"/>
      <c r="F42" s="244"/>
      <c r="G42" s="244"/>
      <c r="H42" s="244"/>
      <c r="I42" s="244"/>
      <c r="J42" s="244"/>
      <c r="K42" s="244"/>
      <c r="L42" s="244"/>
      <c r="M42" s="244"/>
      <c r="N42" s="244"/>
      <c r="O42" s="244"/>
      <c r="P42" s="257"/>
      <c r="Q42" s="244"/>
    </row>
    <row r="43" spans="2:17" ht="18.75" customHeight="1">
      <c r="C43" s="13" t="str">
        <f>"basis point ROE increase."</f>
        <v>basis point ROE increase.</v>
      </c>
      <c r="D43" s="244"/>
      <c r="E43" s="244"/>
      <c r="F43" s="244"/>
      <c r="G43" s="244"/>
      <c r="H43" s="244"/>
      <c r="I43" s="244"/>
      <c r="J43" s="244"/>
      <c r="K43" s="244"/>
      <c r="L43" s="244"/>
      <c r="M43" s="244"/>
      <c r="N43" s="244"/>
      <c r="O43" s="244"/>
      <c r="P43" s="257"/>
      <c r="Q43" s="244"/>
    </row>
    <row r="44" spans="2:17" ht="12.75" customHeight="1">
      <c r="C44" s="13"/>
      <c r="D44" s="244"/>
      <c r="E44" s="244"/>
      <c r="F44" s="244"/>
      <c r="G44" s="244"/>
      <c r="H44" s="244"/>
      <c r="I44" s="244"/>
      <c r="J44" s="244"/>
      <c r="K44" s="244"/>
      <c r="L44" s="244"/>
      <c r="M44" s="244"/>
      <c r="N44" s="244"/>
      <c r="O44" s="244"/>
      <c r="P44" s="257"/>
      <c r="Q44" s="244"/>
    </row>
    <row r="45" spans="2:17" ht="15.75">
      <c r="C45" s="407" t="s">
        <v>465</v>
      </c>
      <c r="D45" s="244"/>
      <c r="E45" s="244"/>
      <c r="F45" s="241"/>
      <c r="G45" s="241"/>
      <c r="H45" s="244"/>
      <c r="I45" s="244"/>
      <c r="J45" s="244"/>
      <c r="K45" s="244"/>
      <c r="L45" s="244"/>
      <c r="M45" s="244"/>
      <c r="N45" s="244"/>
      <c r="O45" s="244"/>
      <c r="P45" s="257"/>
      <c r="Q45" s="244"/>
    </row>
    <row r="46" spans="2:17">
      <c r="B46" s="3"/>
      <c r="C46" s="408"/>
      <c r="D46" s="409"/>
      <c r="E46" s="409"/>
      <c r="F46" s="409"/>
      <c r="G46" s="409"/>
      <c r="H46" s="409"/>
      <c r="I46" s="409"/>
      <c r="J46" s="409"/>
      <c r="K46" s="409"/>
      <c r="L46" s="409"/>
      <c r="M46" s="409"/>
      <c r="N46" s="409"/>
      <c r="O46" s="409"/>
      <c r="P46" s="421"/>
      <c r="Q46" s="409"/>
    </row>
    <row r="47" spans="2:17" ht="12.75" customHeight="1">
      <c r="B47" s="3"/>
      <c r="C47" s="436" t="str">
        <f>"   Annual Revenue Requirement  (TCOS, ln "&amp;TCOS!B13&amp;")"</f>
        <v xml:space="preserve">   Annual Revenue Requirement  (TCOS, ln 1)</v>
      </c>
      <c r="D47" s="409"/>
      <c r="E47" s="409"/>
      <c r="F47" s="421">
        <f>TCOS!L13</f>
        <v>27428150.406453256</v>
      </c>
      <c r="G47" s="421"/>
      <c r="H47" s="533" t="s">
        <v>114</v>
      </c>
      <c r="I47" s="409"/>
      <c r="J47" s="409"/>
      <c r="K47" s="409"/>
      <c r="L47" s="409"/>
      <c r="M47" s="409"/>
      <c r="N47" s="409"/>
      <c r="O47" s="409"/>
      <c r="P47" s="421"/>
      <c r="Q47" s="409"/>
    </row>
    <row r="48" spans="2:17" ht="12.75" customHeight="1">
      <c r="B48" s="3"/>
      <c r="C48" s="436" t="str">
        <f>"   Lease Payments (TCOS, Ln "&amp;TCOS!B175&amp;")"</f>
        <v xml:space="preserve">   Lease Payments (TCOS, Ln 95)</v>
      </c>
      <c r="D48" s="409"/>
      <c r="E48" s="409"/>
      <c r="F48" s="421">
        <f>TCOS!L175</f>
        <v>0</v>
      </c>
      <c r="G48" s="421"/>
      <c r="H48" s="533"/>
      <c r="I48" s="409"/>
      <c r="J48" s="409"/>
      <c r="K48" s="409"/>
      <c r="L48" s="409"/>
      <c r="M48" s="409"/>
      <c r="N48" s="409"/>
      <c r="O48" s="409"/>
      <c r="P48" s="421"/>
      <c r="Q48" s="409"/>
    </row>
    <row r="49" spans="2:17">
      <c r="B49" s="3"/>
      <c r="C49" s="436" t="str">
        <f>"   Return  (TCOS, ln "&amp;TCOS!B213&amp;")"</f>
        <v xml:space="preserve">   Return  (TCOS, ln 126)</v>
      </c>
      <c r="D49" s="409"/>
      <c r="E49" s="409"/>
      <c r="F49" s="422">
        <f>TCOS!L213</f>
        <v>10396412.635026745</v>
      </c>
      <c r="G49" s="422"/>
      <c r="H49" s="408"/>
      <c r="I49" s="408"/>
      <c r="J49" s="408"/>
      <c r="K49" s="408"/>
      <c r="L49" s="408"/>
      <c r="M49" s="408"/>
      <c r="N49" s="408"/>
      <c r="O49" s="408"/>
      <c r="P49" s="421"/>
      <c r="Q49" s="408"/>
    </row>
    <row r="50" spans="2:17">
      <c r="B50" s="3"/>
      <c r="C50" s="436" t="str">
        <f>"   Income Taxes  (TCOS, ln "&amp;TCOS!B211&amp;")"</f>
        <v xml:space="preserve">   Income Taxes  (TCOS, ln 125)</v>
      </c>
      <c r="D50" s="409"/>
      <c r="E50" s="409"/>
      <c r="F50" s="448">
        <f>TCOS!L211</f>
        <v>2258476.3978344342</v>
      </c>
      <c r="G50" s="448"/>
      <c r="H50" s="409"/>
      <c r="I50" s="409"/>
      <c r="J50" s="449"/>
      <c r="K50" s="449"/>
      <c r="L50" s="449"/>
      <c r="M50" s="449"/>
      <c r="N50" s="449"/>
      <c r="O50" s="449"/>
      <c r="P50" s="409"/>
      <c r="Q50" s="449"/>
    </row>
    <row r="51" spans="2:17">
      <c r="B51" s="3"/>
      <c r="C51" s="1228" t="s">
        <v>590</v>
      </c>
      <c r="D51" s="1297"/>
      <c r="E51" s="409"/>
      <c r="F51" s="422">
        <f>F47-F49-F50-F48</f>
        <v>14773261.373592075</v>
      </c>
      <c r="G51" s="422"/>
      <c r="H51" s="450"/>
      <c r="I51" s="409"/>
      <c r="J51" s="450"/>
      <c r="K51" s="450"/>
      <c r="L51" s="450"/>
      <c r="M51" s="450"/>
      <c r="N51" s="450"/>
      <c r="O51" s="450"/>
      <c r="P51" s="450"/>
      <c r="Q51" s="450"/>
    </row>
    <row r="52" spans="2:17">
      <c r="B52" s="3"/>
      <c r="C52" s="1297"/>
      <c r="D52" s="1297"/>
      <c r="E52" s="409"/>
      <c r="F52" s="421"/>
      <c r="G52" s="421"/>
      <c r="H52" s="451"/>
      <c r="I52" s="452"/>
      <c r="J52" s="452"/>
      <c r="K52" s="452"/>
      <c r="L52" s="452"/>
      <c r="M52" s="452"/>
      <c r="N52" s="452"/>
      <c r="O52" s="452"/>
      <c r="P52" s="452"/>
      <c r="Q52" s="452"/>
    </row>
    <row r="53" spans="2:17" ht="15.75">
      <c r="B53" s="3"/>
      <c r="C53" s="407" t="str">
        <f>"B.   Determine Annual Revenue Requirement with hypothetical "&amp;F17&amp;" basis point increase in ROE."</f>
        <v>B.   Determine Annual Revenue Requirement with hypothetical 0 basis point increase in ROE.</v>
      </c>
      <c r="D53" s="411"/>
      <c r="E53" s="411"/>
      <c r="F53" s="421"/>
      <c r="G53" s="421"/>
      <c r="H53" s="451"/>
      <c r="I53" s="452"/>
      <c r="J53" s="452"/>
      <c r="K53" s="452"/>
      <c r="L53" s="452"/>
      <c r="M53" s="452"/>
      <c r="N53" s="452"/>
      <c r="O53" s="452"/>
      <c r="P53" s="452"/>
      <c r="Q53" s="452"/>
    </row>
    <row r="54" spans="2:17">
      <c r="B54" s="3"/>
      <c r="C54" s="408"/>
      <c r="D54" s="411"/>
      <c r="E54" s="411"/>
      <c r="F54" s="421"/>
      <c r="G54" s="421"/>
      <c r="H54" s="451"/>
      <c r="I54" s="452"/>
      <c r="J54" s="452"/>
      <c r="K54" s="452"/>
      <c r="L54" s="452"/>
      <c r="M54" s="452"/>
      <c r="N54" s="452"/>
      <c r="O54" s="452"/>
      <c r="P54" s="452"/>
      <c r="Q54" s="452"/>
    </row>
    <row r="55" spans="2:17">
      <c r="B55" s="3"/>
      <c r="C55" s="408" t="str">
        <f>C51</f>
        <v xml:space="preserve">   Annual Revenue Requirement, Less Lease Payments, Return and Taxes</v>
      </c>
      <c r="D55" s="411"/>
      <c r="E55" s="411"/>
      <c r="F55" s="421">
        <f>F51</f>
        <v>14773261.373592075</v>
      </c>
      <c r="G55" s="421"/>
      <c r="H55" s="409"/>
      <c r="I55" s="409"/>
      <c r="J55" s="409"/>
      <c r="K55" s="409"/>
      <c r="L55" s="409"/>
      <c r="M55" s="409"/>
      <c r="N55" s="409"/>
      <c r="O55" s="409"/>
      <c r="P55" s="453"/>
      <c r="Q55" s="409"/>
    </row>
    <row r="56" spans="2:17">
      <c r="B56" s="3"/>
      <c r="C56" s="411" t="s">
        <v>299</v>
      </c>
      <c r="D56" s="76"/>
      <c r="E56" s="3"/>
      <c r="F56" s="446">
        <f>E30</f>
        <v>10396412.635026745</v>
      </c>
      <c r="G56" s="446"/>
      <c r="H56" s="3"/>
      <c r="I56" s="454"/>
      <c r="J56" s="3"/>
      <c r="K56" s="3"/>
    </row>
    <row r="57" spans="2:17" ht="12.75" customHeight="1">
      <c r="B57" s="3"/>
      <c r="C57" s="408" t="s">
        <v>266</v>
      </c>
      <c r="D57" s="409"/>
      <c r="E57" s="409"/>
      <c r="F57" s="448">
        <f>E40</f>
        <v>2258476.3978344342</v>
      </c>
      <c r="G57" s="448"/>
      <c r="H57" s="3"/>
      <c r="I57" s="445"/>
      <c r="J57" s="3"/>
      <c r="K57" s="3"/>
    </row>
    <row r="58" spans="2:17">
      <c r="B58" s="3"/>
      <c r="C58" s="3" t="str">
        <f>"   Annual Revenue Requirement, with "&amp;F17&amp;" Basis Point ROE increase"</f>
        <v xml:space="preserve">   Annual Revenue Requirement, with 0 Basis Point ROE increase</v>
      </c>
      <c r="D58" s="76"/>
      <c r="E58" s="3"/>
      <c r="F58" s="446">
        <f>SUM(F55:F57)</f>
        <v>27428150.406453256</v>
      </c>
      <c r="G58" s="446"/>
      <c r="H58" s="3"/>
      <c r="I58" s="445"/>
      <c r="J58" s="3"/>
      <c r="K58" s="3"/>
    </row>
    <row r="59" spans="2:17">
      <c r="B59" s="3"/>
      <c r="C59" s="436" t="str">
        <f>"   Depreciation  (TCOS, ln "&amp;TCOS!B181&amp;")"</f>
        <v xml:space="preserve">   Depreciation  (TCOS, ln 100)</v>
      </c>
      <c r="D59" s="76"/>
      <c r="E59" s="3"/>
      <c r="F59" s="455">
        <f>TCOS!L181</f>
        <v>3525083.3208524385</v>
      </c>
      <c r="G59" s="455"/>
      <c r="H59" s="446"/>
      <c r="I59" s="445"/>
      <c r="J59" s="3"/>
      <c r="K59" s="3"/>
    </row>
    <row r="60" spans="2:17">
      <c r="B60" s="3"/>
      <c r="C60" s="1228" t="str">
        <f>"   Annual Rev. Req, w/ "&amp;F17&amp;" Basis Point ROE increase, less Depreciation"</f>
        <v xml:space="preserve">   Annual Rev. Req, w/ 0 Basis Point ROE increase, less Depreciation</v>
      </c>
      <c r="D60" s="1297"/>
      <c r="E60" s="3"/>
      <c r="F60" s="446">
        <f>F58-F59</f>
        <v>23903067.085600816</v>
      </c>
      <c r="G60" s="446"/>
      <c r="H60" s="3"/>
      <c r="I60" s="445"/>
      <c r="J60" s="3"/>
      <c r="K60" s="3"/>
    </row>
    <row r="61" spans="2:17">
      <c r="B61" s="3"/>
      <c r="C61" s="1297"/>
      <c r="D61" s="1297"/>
      <c r="E61" s="3"/>
      <c r="F61" s="3"/>
      <c r="G61" s="3"/>
      <c r="H61" s="3"/>
      <c r="I61" s="445"/>
      <c r="J61" s="3"/>
      <c r="K61" s="3"/>
    </row>
    <row r="62" spans="2:17" ht="15.75">
      <c r="B62" s="3"/>
      <c r="C62" s="407" t="str">
        <f>"C.   Determine FCR with hypothetical "&amp;F17&amp;" basis point ROE increase."</f>
        <v>C.   Determine FCR with hypothetical 0 basis point ROE increase.</v>
      </c>
      <c r="D62" s="76"/>
      <c r="E62" s="3"/>
      <c r="F62" s="3"/>
      <c r="G62" s="3"/>
      <c r="H62" s="3"/>
      <c r="I62" s="445"/>
      <c r="J62" s="3"/>
      <c r="K62" s="3"/>
    </row>
    <row r="63" spans="2:17">
      <c r="B63" s="3"/>
      <c r="C63" s="3"/>
      <c r="D63" s="76"/>
      <c r="E63" s="3"/>
      <c r="F63" s="3"/>
      <c r="G63" s="3"/>
      <c r="H63" s="3"/>
      <c r="I63" s="445"/>
      <c r="J63" s="3"/>
      <c r="K63" s="3"/>
    </row>
    <row r="64" spans="2:17">
      <c r="B64" s="3"/>
      <c r="C64" s="436" t="str">
        <f>"   Net Transmission Plant  (TCOS, ln "&amp;TCOS!B95&amp;")"</f>
        <v xml:space="preserve">   Net Transmission Plant  (TCOS, ln 42)</v>
      </c>
      <c r="D64" s="76"/>
      <c r="E64" s="3"/>
      <c r="F64" s="446">
        <f>TCOS!L95</f>
        <v>143151033.84727526</v>
      </c>
      <c r="G64" s="446"/>
      <c r="H64" s="446"/>
      <c r="I64" s="456"/>
      <c r="J64" s="3"/>
      <c r="K64" s="3"/>
    </row>
    <row r="65" spans="2:11">
      <c r="B65" s="3"/>
      <c r="C65" s="3" t="str">
        <f>"   Annual Revenue Requirement, with "&amp;F17&amp;" Basis Point ROE increase"</f>
        <v xml:space="preserve">   Annual Revenue Requirement, with 0 Basis Point ROE increase</v>
      </c>
      <c r="D65" s="76"/>
      <c r="E65" s="3"/>
      <c r="F65" s="446">
        <f>F58</f>
        <v>27428150.406453256</v>
      </c>
      <c r="G65" s="446"/>
      <c r="H65" s="3"/>
      <c r="I65" s="445"/>
      <c r="J65" s="3"/>
      <c r="K65" s="3"/>
    </row>
    <row r="66" spans="2:11">
      <c r="B66" s="3"/>
      <c r="C66" s="3" t="str">
        <f>"   FCR with "&amp;F17&amp;" Basis Point increase in ROE"</f>
        <v xml:space="preserve">   FCR with 0 Basis Point increase in ROE</v>
      </c>
      <c r="D66" s="76"/>
      <c r="E66" s="3"/>
      <c r="F66" s="78">
        <f>F65/F64</f>
        <v>0.19160288032369893</v>
      </c>
      <c r="G66" s="78"/>
      <c r="H66" s="78"/>
      <c r="I66" s="445"/>
      <c r="J66" s="3"/>
      <c r="K66" s="3"/>
    </row>
    <row r="67" spans="2:11">
      <c r="B67" s="3"/>
      <c r="C67" s="67"/>
      <c r="D67" s="76"/>
      <c r="E67" s="3"/>
      <c r="F67" s="3"/>
      <c r="G67" s="3"/>
      <c r="H67" s="3"/>
      <c r="I67" s="445"/>
      <c r="J67" s="3"/>
      <c r="K67" s="3"/>
    </row>
    <row r="68" spans="2:11">
      <c r="B68" s="3"/>
      <c r="C68" s="3" t="str">
        <f>"   Annual Rev. Req, w / "&amp;F17&amp;" Basis Point ROE increase, less Dep."</f>
        <v xml:space="preserve">   Annual Rev. Req, w / 0 Basis Point ROE increase, less Dep.</v>
      </c>
      <c r="D68" s="76"/>
      <c r="E68" s="3"/>
      <c r="F68" s="446">
        <f>F60</f>
        <v>23903067.085600816</v>
      </c>
      <c r="G68" s="446"/>
      <c r="H68" s="3"/>
      <c r="I68" s="445"/>
      <c r="J68" s="3"/>
      <c r="K68" s="3"/>
    </row>
    <row r="69" spans="2:11">
      <c r="B69" s="3"/>
      <c r="C69" s="3" t="str">
        <f>"   FCR with "&amp;F17&amp;" Basis Point ROE increase, less Depreciation"</f>
        <v xml:space="preserve">   FCR with 0 Basis Point ROE increase, less Depreciation</v>
      </c>
      <c r="D69" s="76"/>
      <c r="E69" s="3"/>
      <c r="F69" s="78">
        <f>F68/F64</f>
        <v>0.16697795638068869</v>
      </c>
      <c r="G69" s="78"/>
      <c r="H69" s="3"/>
      <c r="I69" s="445"/>
      <c r="J69" s="3"/>
      <c r="K69" s="3"/>
    </row>
    <row r="70" spans="2:11">
      <c r="B70" s="3"/>
      <c r="C70" s="436" t="str">
        <f>"   FCR less Depreciation  (TCOS, ln "&amp;TCOS!B34&amp;")"</f>
        <v xml:space="preserve">   FCR less Depreciation  (TCOS, ln 10)</v>
      </c>
      <c r="D70" s="76"/>
      <c r="E70" s="3"/>
      <c r="F70" s="457">
        <f>TCOS!L34</f>
        <v>0.16697795638068869</v>
      </c>
      <c r="G70" s="457"/>
      <c r="H70" s="3"/>
      <c r="I70" s="445"/>
      <c r="J70" s="3"/>
      <c r="K70" s="3"/>
    </row>
    <row r="71" spans="2:11">
      <c r="B71" s="3"/>
      <c r="C71" s="1228" t="str">
        <f>"   Incremental FCR with "&amp;F17&amp;" Basis Point ROE increase, less Depreciation"</f>
        <v xml:space="preserve">   Incremental FCR with 0 Basis Point ROE increase, less Depreciation</v>
      </c>
      <c r="D71" s="1297"/>
      <c r="E71" s="3"/>
      <c r="F71" s="78">
        <f>F69-F70</f>
        <v>0</v>
      </c>
      <c r="G71" s="78"/>
      <c r="H71" s="3"/>
      <c r="I71" s="445"/>
      <c r="J71" s="3"/>
      <c r="K71" s="3"/>
    </row>
    <row r="72" spans="2:11">
      <c r="B72" s="3"/>
      <c r="C72" s="1297"/>
      <c r="D72" s="1297"/>
      <c r="E72" s="3"/>
      <c r="F72" s="78"/>
      <c r="G72" s="78"/>
      <c r="H72" s="3"/>
      <c r="I72" s="445"/>
      <c r="J72" s="3"/>
      <c r="K72" s="3"/>
    </row>
    <row r="73" spans="2:11" ht="18.75">
      <c r="B73" s="406" t="s">
        <v>173</v>
      </c>
      <c r="C73" s="13" t="s">
        <v>267</v>
      </c>
      <c r="D73" s="76"/>
      <c r="E73" s="3"/>
      <c r="F73" s="78"/>
      <c r="G73" s="78"/>
      <c r="H73" s="3"/>
      <c r="I73" s="445"/>
      <c r="J73" s="3"/>
      <c r="K73" s="3"/>
    </row>
    <row r="74" spans="2:11">
      <c r="B74" s="3"/>
      <c r="C74" s="3"/>
      <c r="D74" s="76"/>
      <c r="E74" s="3"/>
      <c r="F74" s="78"/>
      <c r="G74" s="78"/>
      <c r="H74" s="3"/>
      <c r="I74" s="445"/>
      <c r="J74" s="3"/>
      <c r="K74" s="3"/>
    </row>
    <row r="75" spans="2:11">
      <c r="B75" s="3"/>
      <c r="C75" s="3" t="str">
        <f>+"Average Transmission Plant Balance for "&amp;TCOS!L4&amp;" (TCOS, ln "&amp;TCOS!B68&amp;")"</f>
        <v>Average Transmission Plant Balance for 2026 (TCOS, ln 21)</v>
      </c>
      <c r="D75" s="76"/>
      <c r="H75" s="445">
        <f>TCOS!L68</f>
        <v>183040865.17127377</v>
      </c>
      <c r="J75" s="3"/>
      <c r="K75" s="3"/>
    </row>
    <row r="76" spans="2:11">
      <c r="B76" s="3"/>
      <c r="C76" s="458" t="str">
        <f>"Annual Depreciation and Amortization Expense (TCOS, ln "&amp;TCOS!B181&amp;")"</f>
        <v>Annual Depreciation and Amortization Expense (TCOS, ln 100)</v>
      </c>
      <c r="D76" s="76"/>
      <c r="E76" s="3"/>
      <c r="H76" s="459">
        <f>TCOS!L181</f>
        <v>3525083.3208524385</v>
      </c>
      <c r="I76" s="445"/>
      <c r="J76" s="3"/>
      <c r="K76" s="3"/>
    </row>
    <row r="77" spans="2:11">
      <c r="B77" s="3"/>
      <c r="C77" s="3" t="s">
        <v>268</v>
      </c>
      <c r="D77" s="76"/>
      <c r="E77" s="3"/>
      <c r="H77" s="78">
        <f>+H76/H75</f>
        <v>1.9258449841536594E-2</v>
      </c>
      <c r="I77" s="461"/>
      <c r="J77" s="3"/>
      <c r="K77" s="3"/>
    </row>
    <row r="78" spans="2:11">
      <c r="B78" s="3"/>
      <c r="C78" s="3" t="s">
        <v>269</v>
      </c>
      <c r="D78" s="76"/>
      <c r="E78" s="3"/>
      <c r="H78" s="461">
        <f>1/H77</f>
        <v>51.925259209762643</v>
      </c>
      <c r="I78" s="445"/>
      <c r="J78" s="3"/>
      <c r="K78" s="3"/>
    </row>
    <row r="79" spans="2:11">
      <c r="B79" s="3"/>
      <c r="C79" s="3" t="s">
        <v>270</v>
      </c>
      <c r="D79" s="76"/>
      <c r="E79" s="3"/>
      <c r="H79" s="462">
        <f>ROUND(H78,0)</f>
        <v>52</v>
      </c>
      <c r="I79" s="445"/>
      <c r="J79" s="3"/>
      <c r="K79" s="3"/>
    </row>
    <row r="80" spans="2:11">
      <c r="B80" s="3"/>
      <c r="C80" s="3"/>
      <c r="D80" s="76"/>
      <c r="E80" s="3"/>
      <c r="H80" s="462"/>
      <c r="I80" s="445"/>
      <c r="J80" s="3"/>
      <c r="K80" s="3"/>
    </row>
    <row r="81" spans="1:17">
      <c r="C81" s="463"/>
      <c r="D81" s="462"/>
      <c r="E81" s="462"/>
      <c r="F81" s="462"/>
      <c r="G81" s="462"/>
      <c r="H81" s="460"/>
      <c r="I81" s="460"/>
      <c r="J81" s="464"/>
      <c r="K81" s="464"/>
      <c r="L81" s="464"/>
      <c r="M81" s="464"/>
      <c r="N81" s="464"/>
      <c r="O81" s="464"/>
      <c r="Q81" s="464"/>
    </row>
    <row r="82" spans="1:17">
      <c r="C82" s="463"/>
      <c r="D82" s="462"/>
      <c r="E82" s="462"/>
      <c r="F82" s="462"/>
      <c r="G82" s="462"/>
      <c r="H82" s="460"/>
      <c r="I82" s="460"/>
      <c r="J82" s="464"/>
      <c r="K82" s="464"/>
      <c r="L82" s="464"/>
      <c r="M82" s="464"/>
      <c r="N82" s="464"/>
      <c r="O82" s="464"/>
      <c r="Q82" s="464"/>
    </row>
    <row r="83" spans="1:17" ht="20.25">
      <c r="A83" s="404" t="s">
        <v>762</v>
      </c>
      <c r="B83" s="3"/>
      <c r="C83" s="3"/>
      <c r="D83" s="76"/>
      <c r="E83" s="3"/>
      <c r="F83" s="78"/>
      <c r="G83" s="78"/>
      <c r="H83" s="3"/>
      <c r="I83" s="445"/>
      <c r="L83" s="10"/>
      <c r="M83" s="10"/>
      <c r="N83" s="10"/>
      <c r="O83" s="10" t="str">
        <f>"Page "&amp;SUM(Q$3:Q83)&amp;" of "</f>
        <v xml:space="preserve">Page 2 of </v>
      </c>
      <c r="P83" s="405">
        <f>COUNT(Q$8:Q$58122)</f>
        <v>2</v>
      </c>
      <c r="Q83" s="534">
        <v>1</v>
      </c>
    </row>
    <row r="84" spans="1:17">
      <c r="B84" s="3"/>
      <c r="C84" s="3"/>
      <c r="D84" s="76"/>
      <c r="E84" s="3"/>
      <c r="F84" s="3"/>
      <c r="G84" s="3"/>
      <c r="H84" s="3"/>
      <c r="I84" s="445"/>
      <c r="J84" s="3"/>
      <c r="K84" s="3"/>
    </row>
    <row r="85" spans="1:17" ht="18">
      <c r="B85" s="406" t="s">
        <v>174</v>
      </c>
      <c r="C85" s="465" t="s">
        <v>290</v>
      </c>
      <c r="D85" s="76"/>
      <c r="E85" s="3"/>
      <c r="F85" s="3"/>
      <c r="G85" s="3"/>
      <c r="H85" s="3"/>
      <c r="I85" s="445"/>
      <c r="J85" s="445"/>
      <c r="K85" s="460"/>
      <c r="L85" s="445"/>
      <c r="M85" s="445"/>
      <c r="N85" s="445"/>
      <c r="O85" s="445"/>
      <c r="Q85" s="460"/>
    </row>
    <row r="86" spans="1:17" ht="18.75">
      <c r="B86" s="406"/>
      <c r="C86" s="13"/>
      <c r="D86" s="76"/>
      <c r="E86" s="3"/>
      <c r="F86" s="3"/>
      <c r="G86" s="3"/>
      <c r="H86" s="3"/>
      <c r="I86" s="445"/>
      <c r="J86" s="445"/>
      <c r="K86" s="460"/>
      <c r="L86" s="445"/>
      <c r="M86" s="445"/>
      <c r="N86" s="445"/>
      <c r="O86" s="445"/>
      <c r="Q86" s="460"/>
    </row>
    <row r="87" spans="1:17" ht="18.75">
      <c r="B87" s="406"/>
      <c r="C87" s="13" t="s">
        <v>291</v>
      </c>
      <c r="D87" s="76"/>
      <c r="E87" s="3"/>
      <c r="F87" s="3"/>
      <c r="G87" s="3"/>
      <c r="H87" s="3"/>
      <c r="I87" s="445"/>
      <c r="J87" s="445"/>
      <c r="K87" s="460"/>
      <c r="L87" s="445"/>
      <c r="M87" s="445"/>
      <c r="N87" s="445"/>
      <c r="O87" s="445"/>
      <c r="Q87" s="460"/>
    </row>
    <row r="88" spans="1:17" ht="15.75" thickBot="1">
      <c r="C88" s="241"/>
      <c r="D88" s="76"/>
      <c r="E88" s="3"/>
      <c r="F88" s="3"/>
      <c r="G88" s="3"/>
      <c r="H88" s="3"/>
      <c r="I88" s="445"/>
      <c r="J88" s="445"/>
      <c r="K88" s="460"/>
      <c r="L88" s="445"/>
      <c r="M88" s="445"/>
      <c r="N88" s="445"/>
      <c r="O88" s="445"/>
      <c r="Q88" s="460"/>
    </row>
    <row r="89" spans="1:17" ht="15.75">
      <c r="C89" s="407" t="s">
        <v>292</v>
      </c>
      <c r="D89" s="76"/>
      <c r="E89" s="3"/>
      <c r="F89" s="3"/>
      <c r="G89" s="3"/>
      <c r="H89" s="621"/>
      <c r="I89" s="3" t="s">
        <v>271</v>
      </c>
      <c r="J89" s="3"/>
      <c r="K89" s="3"/>
      <c r="L89" s="535">
        <f>+J95</f>
        <v>2016</v>
      </c>
      <c r="M89" s="519" t="s">
        <v>254</v>
      </c>
      <c r="N89" s="519" t="s">
        <v>255</v>
      </c>
      <c r="O89" s="520" t="s">
        <v>256</v>
      </c>
    </row>
    <row r="90" spans="1:17" ht="15.75">
      <c r="C90" s="407"/>
      <c r="D90" s="76"/>
      <c r="E90" s="3"/>
      <c r="F90" s="3"/>
      <c r="H90" s="3"/>
      <c r="I90" s="469"/>
      <c r="J90" s="469"/>
      <c r="K90" s="470"/>
      <c r="L90" s="536" t="s">
        <v>455</v>
      </c>
      <c r="M90" s="537" t="e">
        <f>VLOOKUP(J95,C102:P161,10)</f>
        <v>#N/A</v>
      </c>
      <c r="N90" s="537" t="e">
        <f>VLOOKUP(J95,C102:P161,12)</f>
        <v>#N/A</v>
      </c>
      <c r="O90" s="538" t="e">
        <f>+N90-M90</f>
        <v>#N/A</v>
      </c>
      <c r="Q90" s="470"/>
    </row>
    <row r="91" spans="1:17">
      <c r="C91" s="472" t="s">
        <v>293</v>
      </c>
      <c r="D91" s="631"/>
      <c r="E91" s="631"/>
      <c r="F91" s="631"/>
      <c r="G91" s="631"/>
      <c r="H91" s="631"/>
      <c r="I91" s="445"/>
      <c r="J91" s="445"/>
      <c r="K91" s="460"/>
      <c r="L91" s="536" t="s">
        <v>456</v>
      </c>
      <c r="M91" s="539" t="e">
        <f>VLOOKUP(J95,C102:P161,6)</f>
        <v>#N/A</v>
      </c>
      <c r="N91" s="539" t="e">
        <f>VLOOKUP(J95,C102:P161,7)</f>
        <v>#N/A</v>
      </c>
      <c r="O91" s="540" t="e">
        <f>+N91-M91</f>
        <v>#N/A</v>
      </c>
      <c r="Q91" s="460"/>
    </row>
    <row r="92" spans="1:17" ht="13.5" thickBot="1">
      <c r="C92" s="474"/>
      <c r="D92" s="475"/>
      <c r="E92" s="462"/>
      <c r="F92" s="462"/>
      <c r="G92" s="462"/>
      <c r="H92" s="476"/>
      <c r="I92" s="445"/>
      <c r="J92" s="445"/>
      <c r="K92" s="460"/>
      <c r="L92" s="485" t="s">
        <v>457</v>
      </c>
      <c r="M92" s="541" t="e">
        <f>+M91-M90</f>
        <v>#N/A</v>
      </c>
      <c r="N92" s="541" t="e">
        <f>+N91-N90</f>
        <v>#N/A</v>
      </c>
      <c r="O92" s="542" t="e">
        <f>+O91-O90</f>
        <v>#N/A</v>
      </c>
      <c r="Q92" s="460"/>
    </row>
    <row r="93" spans="1:17" ht="13.5" thickBot="1">
      <c r="C93" s="474"/>
      <c r="D93" s="3"/>
      <c r="E93" s="476"/>
      <c r="F93" s="476"/>
      <c r="G93" s="476"/>
      <c r="H93" s="476"/>
      <c r="I93" s="476"/>
      <c r="J93" s="476"/>
      <c r="K93" s="476"/>
      <c r="L93" s="476"/>
      <c r="M93" s="476"/>
      <c r="N93" s="476"/>
      <c r="O93" s="476"/>
      <c r="Q93" s="476"/>
    </row>
    <row r="94" spans="1:17" ht="13.5" thickBot="1">
      <c r="C94" s="477" t="s">
        <v>294</v>
      </c>
      <c r="D94" s="478"/>
      <c r="E94" s="478"/>
      <c r="F94" s="478"/>
      <c r="G94" s="478"/>
      <c r="H94" s="478"/>
      <c r="I94" s="478"/>
      <c r="J94" s="478"/>
      <c r="Q94"/>
    </row>
    <row r="95" spans="1:17" ht="15">
      <c r="A95" s="516"/>
      <c r="C95" s="480" t="s">
        <v>272</v>
      </c>
      <c r="D95" s="622"/>
      <c r="E95" s="3" t="s">
        <v>273</v>
      </c>
      <c r="H95" s="76"/>
      <c r="I95" s="76"/>
      <c r="J95" s="481">
        <v>2016</v>
      </c>
      <c r="K95" s="136"/>
      <c r="L95" s="1302" t="s">
        <v>274</v>
      </c>
      <c r="M95" s="1302"/>
      <c r="N95" s="1302"/>
      <c r="O95" s="1302"/>
      <c r="Q95" s="136"/>
    </row>
    <row r="96" spans="1:17">
      <c r="A96" s="516"/>
      <c r="C96" s="480" t="s">
        <v>275</v>
      </c>
      <c r="D96" s="632"/>
      <c r="E96" s="480" t="s">
        <v>276</v>
      </c>
      <c r="F96" s="76"/>
      <c r="G96" s="76"/>
      <c r="I96"/>
      <c r="J96" s="625">
        <v>0</v>
      </c>
      <c r="K96" s="482"/>
      <c r="L96" s="460" t="s">
        <v>475</v>
      </c>
      <c r="Q96" s="482"/>
    </row>
    <row r="97" spans="1:17">
      <c r="A97" s="516"/>
      <c r="C97" s="480" t="s">
        <v>277</v>
      </c>
      <c r="D97" s="623"/>
      <c r="E97" s="480" t="s">
        <v>278</v>
      </c>
      <c r="F97" s="76"/>
      <c r="G97" s="76"/>
      <c r="I97"/>
      <c r="J97" s="483">
        <f>$F$70</f>
        <v>0.16697795638068869</v>
      </c>
      <c r="K97" s="78"/>
      <c r="L97" s="3" t="str">
        <f>"          INPUT TRUE-UP ARR (WITH &amp; WITHOUT INCENTIVES) FROM EACH PRIOR YEAR"</f>
        <v xml:space="preserve">          INPUT TRUE-UP ARR (WITH &amp; WITHOUT INCENTIVES) FROM EACH PRIOR YEAR</v>
      </c>
      <c r="Q97" s="78"/>
    </row>
    <row r="98" spans="1:17">
      <c r="A98" s="516"/>
      <c r="C98" s="480" t="s">
        <v>279</v>
      </c>
      <c r="D98" s="484">
        <f>H79</f>
        <v>52</v>
      </c>
      <c r="E98" s="480" t="s">
        <v>280</v>
      </c>
      <c r="F98" s="76"/>
      <c r="G98" s="76"/>
      <c r="I98"/>
      <c r="J98" s="483">
        <f>IF(H89="",J97,$F$69)</f>
        <v>0.16697795638068869</v>
      </c>
      <c r="K98" s="78"/>
      <c r="L98" s="3" t="s">
        <v>362</v>
      </c>
      <c r="M98" s="78"/>
      <c r="N98" s="78"/>
      <c r="O98" s="78"/>
      <c r="Q98" s="78"/>
    </row>
    <row r="99" spans="1:17" ht="13.5" thickBot="1">
      <c r="A99" s="516"/>
      <c r="C99" s="480" t="s">
        <v>281</v>
      </c>
      <c r="D99" s="624"/>
      <c r="E99" s="485" t="s">
        <v>282</v>
      </c>
      <c r="F99" s="486"/>
      <c r="G99" s="486"/>
      <c r="H99" s="487"/>
      <c r="I99" s="487"/>
      <c r="J99" s="473">
        <f>IF(D95=0,0,D95/D98)</f>
        <v>0</v>
      </c>
      <c r="K99" s="460"/>
      <c r="L99" s="460" t="s">
        <v>363</v>
      </c>
      <c r="M99" s="460"/>
      <c r="N99" s="460"/>
      <c r="O99" s="460"/>
      <c r="Q99" s="460"/>
    </row>
    <row r="100" spans="1:17" ht="38.25">
      <c r="A100" s="12"/>
      <c r="B100" s="12"/>
      <c r="C100" s="488" t="s">
        <v>272</v>
      </c>
      <c r="D100" s="489" t="s">
        <v>283</v>
      </c>
      <c r="E100" s="490" t="s">
        <v>284</v>
      </c>
      <c r="F100" s="489" t="s">
        <v>285</v>
      </c>
      <c r="G100" s="489" t="s">
        <v>458</v>
      </c>
      <c r="H100" s="490" t="s">
        <v>356</v>
      </c>
      <c r="I100" s="491" t="s">
        <v>356</v>
      </c>
      <c r="J100" s="488" t="s">
        <v>295</v>
      </c>
      <c r="K100" s="492"/>
      <c r="L100" s="490" t="s">
        <v>358</v>
      </c>
      <c r="M100" s="490" t="s">
        <v>364</v>
      </c>
      <c r="N100" s="490" t="s">
        <v>358</v>
      </c>
      <c r="O100" s="490" t="s">
        <v>366</v>
      </c>
      <c r="P100" s="490" t="s">
        <v>286</v>
      </c>
      <c r="Q100" s="130"/>
    </row>
    <row r="101" spans="1:17" ht="13.5" thickBot="1">
      <c r="C101" s="493" t="s">
        <v>177</v>
      </c>
      <c r="D101" s="494" t="s">
        <v>178</v>
      </c>
      <c r="E101" s="493" t="s">
        <v>37</v>
      </c>
      <c r="F101" s="494" t="s">
        <v>178</v>
      </c>
      <c r="G101" s="494" t="s">
        <v>178</v>
      </c>
      <c r="H101" s="495" t="s">
        <v>298</v>
      </c>
      <c r="I101" s="496" t="s">
        <v>300</v>
      </c>
      <c r="J101" s="493" t="s">
        <v>389</v>
      </c>
      <c r="K101" s="497"/>
      <c r="L101" s="495" t="s">
        <v>287</v>
      </c>
      <c r="M101" s="495" t="s">
        <v>287</v>
      </c>
      <c r="N101" s="495" t="s">
        <v>467</v>
      </c>
      <c r="O101" s="495" t="s">
        <v>467</v>
      </c>
      <c r="P101" s="495" t="s">
        <v>467</v>
      </c>
      <c r="Q101" s="136"/>
    </row>
    <row r="102" spans="1:17">
      <c r="C102" s="498" t="str">
        <f>IF(D96= "","-",D96)</f>
        <v>-</v>
      </c>
      <c r="D102" s="462">
        <f>+D95</f>
        <v>0</v>
      </c>
      <c r="E102" s="499">
        <f>+J99/12*(12-D97)</f>
        <v>0</v>
      </c>
      <c r="F102" s="543">
        <f t="shared" ref="F102:F133" si="0">+D102-E102</f>
        <v>0</v>
      </c>
      <c r="G102" s="462">
        <f t="shared" ref="G102:G133" si="1">+(D102+F102)/2</f>
        <v>0</v>
      </c>
      <c r="H102" s="500">
        <f>+J97*G102+E102</f>
        <v>0</v>
      </c>
      <c r="I102" s="501">
        <f>+J98*G102+E102</f>
        <v>0</v>
      </c>
      <c r="J102" s="502">
        <f t="shared" ref="J102:J133" si="2">+I102-H102</f>
        <v>0</v>
      </c>
      <c r="K102" s="502"/>
      <c r="L102" s="503"/>
      <c r="M102" s="544">
        <f t="shared" ref="M102:M133" si="3">IF(L102&lt;&gt;0,+H102-L102,0)</f>
        <v>0</v>
      </c>
      <c r="N102" s="503"/>
      <c r="O102" s="544">
        <f t="shared" ref="O102:O133" si="4">IF(N102&lt;&gt;0,+I102-N102,0)</f>
        <v>0</v>
      </c>
      <c r="P102" s="544">
        <f t="shared" ref="P102:P133" si="5">+O102-M102</f>
        <v>0</v>
      </c>
      <c r="Q102" s="464"/>
    </row>
    <row r="103" spans="1:17">
      <c r="C103" s="498" t="str">
        <f>IF(D96="","-",+C102+1)</f>
        <v>-</v>
      </c>
      <c r="D103" s="462">
        <f t="shared" ref="D103:D134" si="6">F102</f>
        <v>0</v>
      </c>
      <c r="E103" s="505">
        <f t="shared" ref="E103:E134" si="7">IF(D103&gt;$J$99,$J$99,D103)</f>
        <v>0</v>
      </c>
      <c r="F103" s="505">
        <f t="shared" si="0"/>
        <v>0</v>
      </c>
      <c r="G103" s="462">
        <f t="shared" si="1"/>
        <v>0</v>
      </c>
      <c r="H103" s="499">
        <f>+J97*G103+E103</f>
        <v>0</v>
      </c>
      <c r="I103" s="506">
        <f>+J98*G103+E103</f>
        <v>0</v>
      </c>
      <c r="J103" s="502">
        <f t="shared" si="2"/>
        <v>0</v>
      </c>
      <c r="K103" s="502"/>
      <c r="L103" s="507"/>
      <c r="M103" s="502">
        <f t="shared" si="3"/>
        <v>0</v>
      </c>
      <c r="N103" s="507"/>
      <c r="O103" s="502">
        <f t="shared" si="4"/>
        <v>0</v>
      </c>
      <c r="P103" s="502">
        <f t="shared" si="5"/>
        <v>0</v>
      </c>
      <c r="Q103" s="464"/>
    </row>
    <row r="104" spans="1:17">
      <c r="C104" s="498" t="str">
        <f>IF(D96="","-",+C103+1)</f>
        <v>-</v>
      </c>
      <c r="D104" s="462">
        <f t="shared" si="6"/>
        <v>0</v>
      </c>
      <c r="E104" s="505">
        <f t="shared" si="7"/>
        <v>0</v>
      </c>
      <c r="F104" s="505">
        <f t="shared" si="0"/>
        <v>0</v>
      </c>
      <c r="G104" s="462">
        <f t="shared" si="1"/>
        <v>0</v>
      </c>
      <c r="H104" s="499">
        <f>+J97*G104+E104</f>
        <v>0</v>
      </c>
      <c r="I104" s="506">
        <f>+J98*G104+E104</f>
        <v>0</v>
      </c>
      <c r="J104" s="502">
        <f t="shared" si="2"/>
        <v>0</v>
      </c>
      <c r="K104" s="502"/>
      <c r="L104" s="507"/>
      <c r="M104" s="502">
        <f t="shared" si="3"/>
        <v>0</v>
      </c>
      <c r="N104" s="507"/>
      <c r="O104" s="502">
        <f t="shared" si="4"/>
        <v>0</v>
      </c>
      <c r="P104" s="502">
        <f t="shared" si="5"/>
        <v>0</v>
      </c>
      <c r="Q104" s="464"/>
    </row>
    <row r="105" spans="1:17">
      <c r="C105" s="498" t="str">
        <f>IF(D96="","-",+C104+1)</f>
        <v>-</v>
      </c>
      <c r="D105" s="462">
        <f t="shared" si="6"/>
        <v>0</v>
      </c>
      <c r="E105" s="505">
        <f t="shared" si="7"/>
        <v>0</v>
      </c>
      <c r="F105" s="505">
        <f t="shared" si="0"/>
        <v>0</v>
      </c>
      <c r="G105" s="462">
        <f t="shared" si="1"/>
        <v>0</v>
      </c>
      <c r="H105" s="499">
        <f>+J97*G105+E105</f>
        <v>0</v>
      </c>
      <c r="I105" s="506">
        <f>+J98*G105+E105</f>
        <v>0</v>
      </c>
      <c r="J105" s="502">
        <f t="shared" si="2"/>
        <v>0</v>
      </c>
      <c r="K105" s="502"/>
      <c r="L105" s="507"/>
      <c r="M105" s="502">
        <f t="shared" si="3"/>
        <v>0</v>
      </c>
      <c r="N105" s="507"/>
      <c r="O105" s="502">
        <f t="shared" si="4"/>
        <v>0</v>
      </c>
      <c r="P105" s="502">
        <f t="shared" si="5"/>
        <v>0</v>
      </c>
      <c r="Q105" s="464"/>
    </row>
    <row r="106" spans="1:17">
      <c r="C106" s="498" t="str">
        <f>IF(D96="","-",+C105+1)</f>
        <v>-</v>
      </c>
      <c r="D106" s="462">
        <f t="shared" si="6"/>
        <v>0</v>
      </c>
      <c r="E106" s="505">
        <f t="shared" si="7"/>
        <v>0</v>
      </c>
      <c r="F106" s="505">
        <f t="shared" si="0"/>
        <v>0</v>
      </c>
      <c r="G106" s="462">
        <f t="shared" si="1"/>
        <v>0</v>
      </c>
      <c r="H106" s="499">
        <f>+J97*G106+E106</f>
        <v>0</v>
      </c>
      <c r="I106" s="506">
        <f>+J98*G106+E106</f>
        <v>0</v>
      </c>
      <c r="J106" s="502">
        <f t="shared" si="2"/>
        <v>0</v>
      </c>
      <c r="K106" s="502"/>
      <c r="L106" s="507"/>
      <c r="M106" s="502">
        <f t="shared" si="3"/>
        <v>0</v>
      </c>
      <c r="N106" s="507"/>
      <c r="O106" s="502">
        <f t="shared" si="4"/>
        <v>0</v>
      </c>
      <c r="P106" s="502">
        <f t="shared" si="5"/>
        <v>0</v>
      </c>
      <c r="Q106" s="464"/>
    </row>
    <row r="107" spans="1:17">
      <c r="C107" s="498" t="str">
        <f>IF(D96="","-",+C106+1)</f>
        <v>-</v>
      </c>
      <c r="D107" s="462">
        <f t="shared" si="6"/>
        <v>0</v>
      </c>
      <c r="E107" s="505">
        <f t="shared" si="7"/>
        <v>0</v>
      </c>
      <c r="F107" s="505">
        <f t="shared" si="0"/>
        <v>0</v>
      </c>
      <c r="G107" s="462">
        <f t="shared" si="1"/>
        <v>0</v>
      </c>
      <c r="H107" s="499">
        <f>+J97*G107+E107</f>
        <v>0</v>
      </c>
      <c r="I107" s="506">
        <f>+J98*G107+E107</f>
        <v>0</v>
      </c>
      <c r="J107" s="502">
        <f t="shared" si="2"/>
        <v>0</v>
      </c>
      <c r="K107" s="502"/>
      <c r="L107" s="507"/>
      <c r="M107" s="502">
        <f t="shared" si="3"/>
        <v>0</v>
      </c>
      <c r="N107" s="507"/>
      <c r="O107" s="502">
        <f t="shared" si="4"/>
        <v>0</v>
      </c>
      <c r="P107" s="502">
        <f t="shared" si="5"/>
        <v>0</v>
      </c>
      <c r="Q107" s="464"/>
    </row>
    <row r="108" spans="1:17">
      <c r="C108" s="498" t="str">
        <f>IF(D96="","-",+C107+1)</f>
        <v>-</v>
      </c>
      <c r="D108" s="462">
        <f t="shared" si="6"/>
        <v>0</v>
      </c>
      <c r="E108" s="505">
        <f t="shared" si="7"/>
        <v>0</v>
      </c>
      <c r="F108" s="505">
        <f t="shared" si="0"/>
        <v>0</v>
      </c>
      <c r="G108" s="462">
        <f t="shared" si="1"/>
        <v>0</v>
      </c>
      <c r="H108" s="499">
        <f>+J97*G108+E108</f>
        <v>0</v>
      </c>
      <c r="I108" s="506">
        <f>+J98*G108+E108</f>
        <v>0</v>
      </c>
      <c r="J108" s="502">
        <f t="shared" si="2"/>
        <v>0</v>
      </c>
      <c r="K108" s="502"/>
      <c r="L108" s="507"/>
      <c r="M108" s="502">
        <f t="shared" si="3"/>
        <v>0</v>
      </c>
      <c r="N108" s="507"/>
      <c r="O108" s="502">
        <f t="shared" si="4"/>
        <v>0</v>
      </c>
      <c r="P108" s="502">
        <f t="shared" si="5"/>
        <v>0</v>
      </c>
      <c r="Q108" s="464"/>
    </row>
    <row r="109" spans="1:17">
      <c r="C109" s="498" t="str">
        <f>IF(D96="","-",+C108+1)</f>
        <v>-</v>
      </c>
      <c r="D109" s="462">
        <f t="shared" si="6"/>
        <v>0</v>
      </c>
      <c r="E109" s="505">
        <f t="shared" si="7"/>
        <v>0</v>
      </c>
      <c r="F109" s="505">
        <f t="shared" si="0"/>
        <v>0</v>
      </c>
      <c r="G109" s="462">
        <f t="shared" si="1"/>
        <v>0</v>
      </c>
      <c r="H109" s="499">
        <f>+J97*G109+E109</f>
        <v>0</v>
      </c>
      <c r="I109" s="506">
        <f>+J98*G109+E109</f>
        <v>0</v>
      </c>
      <c r="J109" s="502">
        <f t="shared" si="2"/>
        <v>0</v>
      </c>
      <c r="K109" s="502"/>
      <c r="L109" s="507"/>
      <c r="M109" s="502">
        <f t="shared" si="3"/>
        <v>0</v>
      </c>
      <c r="N109" s="507"/>
      <c r="O109" s="502">
        <f t="shared" si="4"/>
        <v>0</v>
      </c>
      <c r="P109" s="502">
        <f t="shared" si="5"/>
        <v>0</v>
      </c>
      <c r="Q109" s="464"/>
    </row>
    <row r="110" spans="1:17">
      <c r="C110" s="498" t="str">
        <f>IF(D96="","-",+C109+1)</f>
        <v>-</v>
      </c>
      <c r="D110" s="462">
        <f t="shared" si="6"/>
        <v>0</v>
      </c>
      <c r="E110" s="505">
        <f t="shared" si="7"/>
        <v>0</v>
      </c>
      <c r="F110" s="505">
        <f t="shared" si="0"/>
        <v>0</v>
      </c>
      <c r="G110" s="462">
        <f t="shared" si="1"/>
        <v>0</v>
      </c>
      <c r="H110" s="499">
        <f>+J97*G110+E110</f>
        <v>0</v>
      </c>
      <c r="I110" s="506">
        <f>+J98*G110+E110</f>
        <v>0</v>
      </c>
      <c r="J110" s="502">
        <f t="shared" si="2"/>
        <v>0</v>
      </c>
      <c r="K110" s="502"/>
      <c r="L110" s="507"/>
      <c r="M110" s="502">
        <f t="shared" si="3"/>
        <v>0</v>
      </c>
      <c r="N110" s="507"/>
      <c r="O110" s="502">
        <f t="shared" si="4"/>
        <v>0</v>
      </c>
      <c r="P110" s="502">
        <f t="shared" si="5"/>
        <v>0</v>
      </c>
      <c r="Q110" s="464"/>
    </row>
    <row r="111" spans="1:17">
      <c r="C111" s="498" t="str">
        <f>IF(D96="","-",+C110+1)</f>
        <v>-</v>
      </c>
      <c r="D111" s="462">
        <f t="shared" si="6"/>
        <v>0</v>
      </c>
      <c r="E111" s="505">
        <f t="shared" si="7"/>
        <v>0</v>
      </c>
      <c r="F111" s="505">
        <f t="shared" si="0"/>
        <v>0</v>
      </c>
      <c r="G111" s="462">
        <f t="shared" si="1"/>
        <v>0</v>
      </c>
      <c r="H111" s="499">
        <f>+J97*G111+E111</f>
        <v>0</v>
      </c>
      <c r="I111" s="506">
        <f>+J98*G111+E111</f>
        <v>0</v>
      </c>
      <c r="J111" s="502">
        <f t="shared" si="2"/>
        <v>0</v>
      </c>
      <c r="K111" s="502"/>
      <c r="L111" s="507"/>
      <c r="M111" s="502">
        <f t="shared" si="3"/>
        <v>0</v>
      </c>
      <c r="N111" s="507"/>
      <c r="O111" s="502">
        <f t="shared" si="4"/>
        <v>0</v>
      </c>
      <c r="P111" s="502">
        <f t="shared" si="5"/>
        <v>0</v>
      </c>
      <c r="Q111" s="464"/>
    </row>
    <row r="112" spans="1:17">
      <c r="C112" s="498" t="str">
        <f>IF(D96="","-",+C111+1)</f>
        <v>-</v>
      </c>
      <c r="D112" s="462">
        <f t="shared" si="6"/>
        <v>0</v>
      </c>
      <c r="E112" s="505">
        <f t="shared" si="7"/>
        <v>0</v>
      </c>
      <c r="F112" s="505">
        <f t="shared" si="0"/>
        <v>0</v>
      </c>
      <c r="G112" s="462">
        <f t="shared" si="1"/>
        <v>0</v>
      </c>
      <c r="H112" s="499">
        <f>+J97*G112+E112</f>
        <v>0</v>
      </c>
      <c r="I112" s="506">
        <f>+J98*G112+E112</f>
        <v>0</v>
      </c>
      <c r="J112" s="502">
        <f t="shared" si="2"/>
        <v>0</v>
      </c>
      <c r="K112" s="502"/>
      <c r="L112" s="507"/>
      <c r="M112" s="502">
        <f t="shared" si="3"/>
        <v>0</v>
      </c>
      <c r="N112" s="507"/>
      <c r="O112" s="502">
        <f t="shared" si="4"/>
        <v>0</v>
      </c>
      <c r="P112" s="502">
        <f t="shared" si="5"/>
        <v>0</v>
      </c>
      <c r="Q112" s="464"/>
    </row>
    <row r="113" spans="3:17">
      <c r="C113" s="498" t="str">
        <f>IF(D96="","-",+C112+1)</f>
        <v>-</v>
      </c>
      <c r="D113" s="462">
        <f t="shared" si="6"/>
        <v>0</v>
      </c>
      <c r="E113" s="505">
        <f t="shared" si="7"/>
        <v>0</v>
      </c>
      <c r="F113" s="505">
        <f t="shared" si="0"/>
        <v>0</v>
      </c>
      <c r="G113" s="462">
        <f t="shared" si="1"/>
        <v>0</v>
      </c>
      <c r="H113" s="499">
        <f>+J97*G113+E113</f>
        <v>0</v>
      </c>
      <c r="I113" s="506">
        <f>+J98*G113+E113</f>
        <v>0</v>
      </c>
      <c r="J113" s="502">
        <f t="shared" si="2"/>
        <v>0</v>
      </c>
      <c r="K113" s="502"/>
      <c r="L113" s="507"/>
      <c r="M113" s="502">
        <f t="shared" si="3"/>
        <v>0</v>
      </c>
      <c r="N113" s="507"/>
      <c r="O113" s="502">
        <f t="shared" si="4"/>
        <v>0</v>
      </c>
      <c r="P113" s="502">
        <f t="shared" si="5"/>
        <v>0</v>
      </c>
      <c r="Q113" s="464"/>
    </row>
    <row r="114" spans="3:17">
      <c r="C114" s="498" t="str">
        <f>IF(D96="","-",+C113+1)</f>
        <v>-</v>
      </c>
      <c r="D114" s="462">
        <f t="shared" si="6"/>
        <v>0</v>
      </c>
      <c r="E114" s="505">
        <f t="shared" si="7"/>
        <v>0</v>
      </c>
      <c r="F114" s="505">
        <f t="shared" si="0"/>
        <v>0</v>
      </c>
      <c r="G114" s="462">
        <f t="shared" si="1"/>
        <v>0</v>
      </c>
      <c r="H114" s="499">
        <f>+J97*G114+E114</f>
        <v>0</v>
      </c>
      <c r="I114" s="506">
        <f>+J98*G114+E114</f>
        <v>0</v>
      </c>
      <c r="J114" s="502">
        <f t="shared" si="2"/>
        <v>0</v>
      </c>
      <c r="K114" s="502"/>
      <c r="L114" s="507"/>
      <c r="M114" s="502">
        <f t="shared" si="3"/>
        <v>0</v>
      </c>
      <c r="N114" s="507"/>
      <c r="O114" s="502">
        <f t="shared" si="4"/>
        <v>0</v>
      </c>
      <c r="P114" s="502">
        <f t="shared" si="5"/>
        <v>0</v>
      </c>
      <c r="Q114" s="464"/>
    </row>
    <row r="115" spans="3:17">
      <c r="C115" s="498" t="str">
        <f>IF(D96="","-",+C114+1)</f>
        <v>-</v>
      </c>
      <c r="D115" s="462">
        <f t="shared" si="6"/>
        <v>0</v>
      </c>
      <c r="E115" s="505">
        <f t="shared" si="7"/>
        <v>0</v>
      </c>
      <c r="F115" s="505">
        <f t="shared" si="0"/>
        <v>0</v>
      </c>
      <c r="G115" s="462">
        <f t="shared" si="1"/>
        <v>0</v>
      </c>
      <c r="H115" s="499">
        <f>+J97*G115+E115</f>
        <v>0</v>
      </c>
      <c r="I115" s="506">
        <f>+J98*G115+E115</f>
        <v>0</v>
      </c>
      <c r="J115" s="502">
        <f t="shared" si="2"/>
        <v>0</v>
      </c>
      <c r="K115" s="502"/>
      <c r="L115" s="507"/>
      <c r="M115" s="502">
        <f t="shared" si="3"/>
        <v>0</v>
      </c>
      <c r="N115" s="507"/>
      <c r="O115" s="502">
        <f t="shared" si="4"/>
        <v>0</v>
      </c>
      <c r="P115" s="502">
        <f t="shared" si="5"/>
        <v>0</v>
      </c>
      <c r="Q115" s="464"/>
    </row>
    <row r="116" spans="3:17">
      <c r="C116" s="498" t="str">
        <f>IF(D96="","-",+C115+1)</f>
        <v>-</v>
      </c>
      <c r="D116" s="462">
        <f t="shared" si="6"/>
        <v>0</v>
      </c>
      <c r="E116" s="505">
        <f t="shared" si="7"/>
        <v>0</v>
      </c>
      <c r="F116" s="505">
        <f t="shared" si="0"/>
        <v>0</v>
      </c>
      <c r="G116" s="462">
        <f t="shared" si="1"/>
        <v>0</v>
      </c>
      <c r="H116" s="499">
        <f>+J97*G116+E116</f>
        <v>0</v>
      </c>
      <c r="I116" s="506">
        <f>+J98*G116+E116</f>
        <v>0</v>
      </c>
      <c r="J116" s="502">
        <f t="shared" si="2"/>
        <v>0</v>
      </c>
      <c r="K116" s="502"/>
      <c r="L116" s="507"/>
      <c r="M116" s="502">
        <f t="shared" si="3"/>
        <v>0</v>
      </c>
      <c r="N116" s="507"/>
      <c r="O116" s="502">
        <f t="shared" si="4"/>
        <v>0</v>
      </c>
      <c r="P116" s="502">
        <f t="shared" si="5"/>
        <v>0</v>
      </c>
      <c r="Q116" s="464"/>
    </row>
    <row r="117" spans="3:17">
      <c r="C117" s="498" t="str">
        <f>IF(D96="","-",+C116+1)</f>
        <v>-</v>
      </c>
      <c r="D117" s="462">
        <f t="shared" si="6"/>
        <v>0</v>
      </c>
      <c r="E117" s="505">
        <f t="shared" si="7"/>
        <v>0</v>
      </c>
      <c r="F117" s="505">
        <f t="shared" si="0"/>
        <v>0</v>
      </c>
      <c r="G117" s="462">
        <f t="shared" si="1"/>
        <v>0</v>
      </c>
      <c r="H117" s="499">
        <f>+J97*G117+E117</f>
        <v>0</v>
      </c>
      <c r="I117" s="506">
        <f>+J98*G117+E117</f>
        <v>0</v>
      </c>
      <c r="J117" s="502">
        <f t="shared" si="2"/>
        <v>0</v>
      </c>
      <c r="K117" s="502"/>
      <c r="L117" s="507"/>
      <c r="M117" s="502">
        <f t="shared" si="3"/>
        <v>0</v>
      </c>
      <c r="N117" s="507"/>
      <c r="O117" s="502">
        <f t="shared" si="4"/>
        <v>0</v>
      </c>
      <c r="P117" s="502">
        <f t="shared" si="5"/>
        <v>0</v>
      </c>
      <c r="Q117" s="464"/>
    </row>
    <row r="118" spans="3:17">
      <c r="C118" s="498" t="str">
        <f>IF(D96="","-",+C117+1)</f>
        <v>-</v>
      </c>
      <c r="D118" s="462">
        <f t="shared" si="6"/>
        <v>0</v>
      </c>
      <c r="E118" s="505">
        <f t="shared" si="7"/>
        <v>0</v>
      </c>
      <c r="F118" s="505">
        <f t="shared" si="0"/>
        <v>0</v>
      </c>
      <c r="G118" s="462">
        <f t="shared" si="1"/>
        <v>0</v>
      </c>
      <c r="H118" s="499">
        <f>+J97*G118+E118</f>
        <v>0</v>
      </c>
      <c r="I118" s="506">
        <f>+J98*G118+E118</f>
        <v>0</v>
      </c>
      <c r="J118" s="502">
        <f t="shared" si="2"/>
        <v>0</v>
      </c>
      <c r="K118" s="502"/>
      <c r="L118" s="507"/>
      <c r="M118" s="502">
        <f t="shared" si="3"/>
        <v>0</v>
      </c>
      <c r="N118" s="507"/>
      <c r="O118" s="502">
        <f t="shared" si="4"/>
        <v>0</v>
      </c>
      <c r="P118" s="502">
        <f t="shared" si="5"/>
        <v>0</v>
      </c>
      <c r="Q118" s="464"/>
    </row>
    <row r="119" spans="3:17">
      <c r="C119" s="498" t="str">
        <f>IF(D96="","-",+C118+1)</f>
        <v>-</v>
      </c>
      <c r="D119" s="462">
        <f t="shared" si="6"/>
        <v>0</v>
      </c>
      <c r="E119" s="505">
        <f t="shared" si="7"/>
        <v>0</v>
      </c>
      <c r="F119" s="505">
        <f t="shared" si="0"/>
        <v>0</v>
      </c>
      <c r="G119" s="462">
        <f t="shared" si="1"/>
        <v>0</v>
      </c>
      <c r="H119" s="499">
        <f>+J97*G119+E119</f>
        <v>0</v>
      </c>
      <c r="I119" s="506">
        <f>+J98*G119+E119</f>
        <v>0</v>
      </c>
      <c r="J119" s="502">
        <f t="shared" si="2"/>
        <v>0</v>
      </c>
      <c r="K119" s="502"/>
      <c r="L119" s="507"/>
      <c r="M119" s="502">
        <f t="shared" si="3"/>
        <v>0</v>
      </c>
      <c r="N119" s="507"/>
      <c r="O119" s="502">
        <f t="shared" si="4"/>
        <v>0</v>
      </c>
      <c r="P119" s="502">
        <f t="shared" si="5"/>
        <v>0</v>
      </c>
      <c r="Q119" s="464"/>
    </row>
    <row r="120" spans="3:17">
      <c r="C120" s="498" t="str">
        <f>IF(D96="","-",+C119+1)</f>
        <v>-</v>
      </c>
      <c r="D120" s="462">
        <f t="shared" si="6"/>
        <v>0</v>
      </c>
      <c r="E120" s="505">
        <f t="shared" si="7"/>
        <v>0</v>
      </c>
      <c r="F120" s="505">
        <f t="shared" si="0"/>
        <v>0</v>
      </c>
      <c r="G120" s="462">
        <f t="shared" si="1"/>
        <v>0</v>
      </c>
      <c r="H120" s="499">
        <f>+J97*G120+E120</f>
        <v>0</v>
      </c>
      <c r="I120" s="506">
        <f>+J98*G120+E120</f>
        <v>0</v>
      </c>
      <c r="J120" s="502">
        <f t="shared" si="2"/>
        <v>0</v>
      </c>
      <c r="K120" s="502"/>
      <c r="L120" s="507"/>
      <c r="M120" s="502">
        <f t="shared" si="3"/>
        <v>0</v>
      </c>
      <c r="N120" s="507"/>
      <c r="O120" s="502">
        <f t="shared" si="4"/>
        <v>0</v>
      </c>
      <c r="P120" s="502">
        <f t="shared" si="5"/>
        <v>0</v>
      </c>
      <c r="Q120" s="464"/>
    </row>
    <row r="121" spans="3:17">
      <c r="C121" s="498" t="str">
        <f>IF(D96="","-",+C120+1)</f>
        <v>-</v>
      </c>
      <c r="D121" s="462">
        <f t="shared" si="6"/>
        <v>0</v>
      </c>
      <c r="E121" s="505">
        <f t="shared" si="7"/>
        <v>0</v>
      </c>
      <c r="F121" s="505">
        <f t="shared" si="0"/>
        <v>0</v>
      </c>
      <c r="G121" s="462">
        <f t="shared" si="1"/>
        <v>0</v>
      </c>
      <c r="H121" s="499">
        <f>+J97*G121+E121</f>
        <v>0</v>
      </c>
      <c r="I121" s="506">
        <f>+J98*G121+E121</f>
        <v>0</v>
      </c>
      <c r="J121" s="502">
        <f t="shared" si="2"/>
        <v>0</v>
      </c>
      <c r="K121" s="502"/>
      <c r="L121" s="507"/>
      <c r="M121" s="502">
        <f t="shared" si="3"/>
        <v>0</v>
      </c>
      <c r="N121" s="507"/>
      <c r="O121" s="502">
        <f t="shared" si="4"/>
        <v>0</v>
      </c>
      <c r="P121" s="502">
        <f t="shared" si="5"/>
        <v>0</v>
      </c>
      <c r="Q121" s="464"/>
    </row>
    <row r="122" spans="3:17">
      <c r="C122" s="498" t="str">
        <f>IF(D96="","-",+C121+1)</f>
        <v>-</v>
      </c>
      <c r="D122" s="462">
        <f t="shared" si="6"/>
        <v>0</v>
      </c>
      <c r="E122" s="505">
        <f t="shared" si="7"/>
        <v>0</v>
      </c>
      <c r="F122" s="505">
        <f t="shared" si="0"/>
        <v>0</v>
      </c>
      <c r="G122" s="462">
        <f t="shared" si="1"/>
        <v>0</v>
      </c>
      <c r="H122" s="499">
        <f>+J97*G122+E122</f>
        <v>0</v>
      </c>
      <c r="I122" s="506">
        <f>+J98*G122+E122</f>
        <v>0</v>
      </c>
      <c r="J122" s="502">
        <f t="shared" si="2"/>
        <v>0</v>
      </c>
      <c r="K122" s="502"/>
      <c r="L122" s="507"/>
      <c r="M122" s="502">
        <f t="shared" si="3"/>
        <v>0</v>
      </c>
      <c r="N122" s="507"/>
      <c r="O122" s="502">
        <f t="shared" si="4"/>
        <v>0</v>
      </c>
      <c r="P122" s="502">
        <f t="shared" si="5"/>
        <v>0</v>
      </c>
      <c r="Q122" s="464"/>
    </row>
    <row r="123" spans="3:17">
      <c r="C123" s="498" t="str">
        <f>IF(D96="","-",+C122+1)</f>
        <v>-</v>
      </c>
      <c r="D123" s="462">
        <f t="shared" si="6"/>
        <v>0</v>
      </c>
      <c r="E123" s="505">
        <f t="shared" si="7"/>
        <v>0</v>
      </c>
      <c r="F123" s="505">
        <f t="shared" si="0"/>
        <v>0</v>
      </c>
      <c r="G123" s="462">
        <f t="shared" si="1"/>
        <v>0</v>
      </c>
      <c r="H123" s="499">
        <f>+J97*G123+E123</f>
        <v>0</v>
      </c>
      <c r="I123" s="506">
        <f>+J98*G123+E123</f>
        <v>0</v>
      </c>
      <c r="J123" s="502">
        <f t="shared" si="2"/>
        <v>0</v>
      </c>
      <c r="K123" s="502"/>
      <c r="L123" s="507"/>
      <c r="M123" s="502">
        <f t="shared" si="3"/>
        <v>0</v>
      </c>
      <c r="N123" s="507"/>
      <c r="O123" s="502">
        <f t="shared" si="4"/>
        <v>0</v>
      </c>
      <c r="P123" s="502">
        <f t="shared" si="5"/>
        <v>0</v>
      </c>
      <c r="Q123" s="464"/>
    </row>
    <row r="124" spans="3:17">
      <c r="C124" s="498" t="str">
        <f>IF(D96="","-",+C123+1)</f>
        <v>-</v>
      </c>
      <c r="D124" s="462">
        <f t="shared" si="6"/>
        <v>0</v>
      </c>
      <c r="E124" s="505">
        <f t="shared" si="7"/>
        <v>0</v>
      </c>
      <c r="F124" s="505">
        <f t="shared" si="0"/>
        <v>0</v>
      </c>
      <c r="G124" s="462">
        <f t="shared" si="1"/>
        <v>0</v>
      </c>
      <c r="H124" s="499">
        <f>+J97*G124+E124</f>
        <v>0</v>
      </c>
      <c r="I124" s="506">
        <f>+J98*G124+E124</f>
        <v>0</v>
      </c>
      <c r="J124" s="502">
        <f t="shared" si="2"/>
        <v>0</v>
      </c>
      <c r="K124" s="502"/>
      <c r="L124" s="507"/>
      <c r="M124" s="502">
        <f t="shared" si="3"/>
        <v>0</v>
      </c>
      <c r="N124" s="507"/>
      <c r="O124" s="502">
        <f t="shared" si="4"/>
        <v>0</v>
      </c>
      <c r="P124" s="502">
        <f t="shared" si="5"/>
        <v>0</v>
      </c>
      <c r="Q124" s="464"/>
    </row>
    <row r="125" spans="3:17">
      <c r="C125" s="498" t="str">
        <f>IF(D96="","-",+C124+1)</f>
        <v>-</v>
      </c>
      <c r="D125" s="462">
        <f t="shared" si="6"/>
        <v>0</v>
      </c>
      <c r="E125" s="505">
        <f t="shared" si="7"/>
        <v>0</v>
      </c>
      <c r="F125" s="505">
        <f t="shared" si="0"/>
        <v>0</v>
      </c>
      <c r="G125" s="462">
        <f t="shared" si="1"/>
        <v>0</v>
      </c>
      <c r="H125" s="499">
        <f>+J97*G125+E125</f>
        <v>0</v>
      </c>
      <c r="I125" s="506">
        <f>+J98*G125+E125</f>
        <v>0</v>
      </c>
      <c r="J125" s="502">
        <f t="shared" si="2"/>
        <v>0</v>
      </c>
      <c r="K125" s="502"/>
      <c r="L125" s="507"/>
      <c r="M125" s="502">
        <f t="shared" si="3"/>
        <v>0</v>
      </c>
      <c r="N125" s="507"/>
      <c r="O125" s="502">
        <f t="shared" si="4"/>
        <v>0</v>
      </c>
      <c r="P125" s="502">
        <f t="shared" si="5"/>
        <v>0</v>
      </c>
      <c r="Q125" s="464"/>
    </row>
    <row r="126" spans="3:17">
      <c r="C126" s="498" t="str">
        <f>IF(D96="","-",+C125+1)</f>
        <v>-</v>
      </c>
      <c r="D126" s="462">
        <f t="shared" si="6"/>
        <v>0</v>
      </c>
      <c r="E126" s="505">
        <f t="shared" si="7"/>
        <v>0</v>
      </c>
      <c r="F126" s="505">
        <f t="shared" si="0"/>
        <v>0</v>
      </c>
      <c r="G126" s="462">
        <f t="shared" si="1"/>
        <v>0</v>
      </c>
      <c r="H126" s="499">
        <f>+J97*G126+E126</f>
        <v>0</v>
      </c>
      <c r="I126" s="506">
        <f>+J98*G126+E126</f>
        <v>0</v>
      </c>
      <c r="J126" s="502">
        <f t="shared" si="2"/>
        <v>0</v>
      </c>
      <c r="K126" s="502"/>
      <c r="L126" s="507"/>
      <c r="M126" s="502">
        <f t="shared" si="3"/>
        <v>0</v>
      </c>
      <c r="N126" s="507"/>
      <c r="O126" s="502">
        <f t="shared" si="4"/>
        <v>0</v>
      </c>
      <c r="P126" s="502">
        <f t="shared" si="5"/>
        <v>0</v>
      </c>
      <c r="Q126" s="464"/>
    </row>
    <row r="127" spans="3:17">
      <c r="C127" s="498" t="str">
        <f>IF(D96="","-",+C126+1)</f>
        <v>-</v>
      </c>
      <c r="D127" s="462">
        <f t="shared" si="6"/>
        <v>0</v>
      </c>
      <c r="E127" s="505">
        <f t="shared" si="7"/>
        <v>0</v>
      </c>
      <c r="F127" s="505">
        <f t="shared" si="0"/>
        <v>0</v>
      </c>
      <c r="G127" s="462">
        <f t="shared" si="1"/>
        <v>0</v>
      </c>
      <c r="H127" s="499">
        <f>+J97*G127+E127</f>
        <v>0</v>
      </c>
      <c r="I127" s="506">
        <f>+J98*G127+E127</f>
        <v>0</v>
      </c>
      <c r="J127" s="502">
        <f t="shared" si="2"/>
        <v>0</v>
      </c>
      <c r="K127" s="502"/>
      <c r="L127" s="507"/>
      <c r="M127" s="502">
        <f t="shared" si="3"/>
        <v>0</v>
      </c>
      <c r="N127" s="507"/>
      <c r="O127" s="502">
        <f t="shared" si="4"/>
        <v>0</v>
      </c>
      <c r="P127" s="502">
        <f t="shared" si="5"/>
        <v>0</v>
      </c>
      <c r="Q127" s="464"/>
    </row>
    <row r="128" spans="3:17">
      <c r="C128" s="498" t="str">
        <f>IF(D96="","-",+C127+1)</f>
        <v>-</v>
      </c>
      <c r="D128" s="462">
        <f t="shared" si="6"/>
        <v>0</v>
      </c>
      <c r="E128" s="505">
        <f t="shared" si="7"/>
        <v>0</v>
      </c>
      <c r="F128" s="505">
        <f t="shared" si="0"/>
        <v>0</v>
      </c>
      <c r="G128" s="462">
        <f t="shared" si="1"/>
        <v>0</v>
      </c>
      <c r="H128" s="499">
        <f>+J97*G128+E128</f>
        <v>0</v>
      </c>
      <c r="I128" s="506">
        <f>+J98*G128+E128</f>
        <v>0</v>
      </c>
      <c r="J128" s="502">
        <f t="shared" si="2"/>
        <v>0</v>
      </c>
      <c r="K128" s="502"/>
      <c r="L128" s="507"/>
      <c r="M128" s="502">
        <f t="shared" si="3"/>
        <v>0</v>
      </c>
      <c r="N128" s="507"/>
      <c r="O128" s="502">
        <f t="shared" si="4"/>
        <v>0</v>
      </c>
      <c r="P128" s="502">
        <f t="shared" si="5"/>
        <v>0</v>
      </c>
      <c r="Q128" s="464"/>
    </row>
    <row r="129" spans="3:17">
      <c r="C129" s="498" t="str">
        <f>IF(D96="","-",+C128+1)</f>
        <v>-</v>
      </c>
      <c r="D129" s="462">
        <f t="shared" si="6"/>
        <v>0</v>
      </c>
      <c r="E129" s="505">
        <f t="shared" si="7"/>
        <v>0</v>
      </c>
      <c r="F129" s="505">
        <f t="shared" si="0"/>
        <v>0</v>
      </c>
      <c r="G129" s="462">
        <f t="shared" si="1"/>
        <v>0</v>
      </c>
      <c r="H129" s="499">
        <f>+J97*G129+E129</f>
        <v>0</v>
      </c>
      <c r="I129" s="506">
        <f>+J98*G129+E129</f>
        <v>0</v>
      </c>
      <c r="J129" s="502">
        <f t="shared" si="2"/>
        <v>0</v>
      </c>
      <c r="K129" s="502"/>
      <c r="L129" s="507"/>
      <c r="M129" s="502">
        <f t="shared" si="3"/>
        <v>0</v>
      </c>
      <c r="N129" s="507"/>
      <c r="O129" s="502">
        <f t="shared" si="4"/>
        <v>0</v>
      </c>
      <c r="P129" s="502">
        <f t="shared" si="5"/>
        <v>0</v>
      </c>
      <c r="Q129" s="464"/>
    </row>
    <row r="130" spans="3:17">
      <c r="C130" s="498" t="str">
        <f>IF(D96="","-",+C129+1)</f>
        <v>-</v>
      </c>
      <c r="D130" s="462">
        <f t="shared" si="6"/>
        <v>0</v>
      </c>
      <c r="E130" s="505">
        <f t="shared" si="7"/>
        <v>0</v>
      </c>
      <c r="F130" s="505">
        <f t="shared" si="0"/>
        <v>0</v>
      </c>
      <c r="G130" s="462">
        <f t="shared" si="1"/>
        <v>0</v>
      </c>
      <c r="H130" s="499">
        <f>+J97*G130+E130</f>
        <v>0</v>
      </c>
      <c r="I130" s="506">
        <f>+J98*G130+E130</f>
        <v>0</v>
      </c>
      <c r="J130" s="502">
        <f t="shared" si="2"/>
        <v>0</v>
      </c>
      <c r="K130" s="502"/>
      <c r="L130" s="507"/>
      <c r="M130" s="502">
        <f t="shared" si="3"/>
        <v>0</v>
      </c>
      <c r="N130" s="507"/>
      <c r="O130" s="502">
        <f t="shared" si="4"/>
        <v>0</v>
      </c>
      <c r="P130" s="502">
        <f t="shared" si="5"/>
        <v>0</v>
      </c>
      <c r="Q130" s="464"/>
    </row>
    <row r="131" spans="3:17">
      <c r="C131" s="498" t="str">
        <f>IF(D96="","-",+C130+1)</f>
        <v>-</v>
      </c>
      <c r="D131" s="462">
        <f t="shared" si="6"/>
        <v>0</v>
      </c>
      <c r="E131" s="505">
        <f t="shared" si="7"/>
        <v>0</v>
      </c>
      <c r="F131" s="505">
        <f t="shared" si="0"/>
        <v>0</v>
      </c>
      <c r="G131" s="462">
        <f t="shared" si="1"/>
        <v>0</v>
      </c>
      <c r="H131" s="499">
        <f>+J97*G131+E131</f>
        <v>0</v>
      </c>
      <c r="I131" s="506">
        <f>+J98*G131+E131</f>
        <v>0</v>
      </c>
      <c r="J131" s="502">
        <f t="shared" si="2"/>
        <v>0</v>
      </c>
      <c r="K131" s="502"/>
      <c r="L131" s="507"/>
      <c r="M131" s="502">
        <f t="shared" si="3"/>
        <v>0</v>
      </c>
      <c r="N131" s="507"/>
      <c r="O131" s="502">
        <f t="shared" si="4"/>
        <v>0</v>
      </c>
      <c r="P131" s="502">
        <f t="shared" si="5"/>
        <v>0</v>
      </c>
      <c r="Q131" s="464"/>
    </row>
    <row r="132" spans="3:17">
      <c r="C132" s="498" t="str">
        <f>IF(D96="","-",+C131+1)</f>
        <v>-</v>
      </c>
      <c r="D132" s="462">
        <f t="shared" si="6"/>
        <v>0</v>
      </c>
      <c r="E132" s="505">
        <f t="shared" si="7"/>
        <v>0</v>
      </c>
      <c r="F132" s="505">
        <f t="shared" si="0"/>
        <v>0</v>
      </c>
      <c r="G132" s="462">
        <f t="shared" si="1"/>
        <v>0</v>
      </c>
      <c r="H132" s="499">
        <f>+J97*G132+E132</f>
        <v>0</v>
      </c>
      <c r="I132" s="506">
        <f>+J98*G132+E132</f>
        <v>0</v>
      </c>
      <c r="J132" s="502">
        <f t="shared" si="2"/>
        <v>0</v>
      </c>
      <c r="K132" s="502"/>
      <c r="L132" s="507"/>
      <c r="M132" s="502">
        <f t="shared" si="3"/>
        <v>0</v>
      </c>
      <c r="N132" s="507"/>
      <c r="O132" s="502">
        <f t="shared" si="4"/>
        <v>0</v>
      </c>
      <c r="P132" s="502">
        <f t="shared" si="5"/>
        <v>0</v>
      </c>
      <c r="Q132" s="464"/>
    </row>
    <row r="133" spans="3:17">
      <c r="C133" s="498" t="str">
        <f>IF(D96="","-",+C132+1)</f>
        <v>-</v>
      </c>
      <c r="D133" s="462">
        <f t="shared" si="6"/>
        <v>0</v>
      </c>
      <c r="E133" s="505">
        <f t="shared" si="7"/>
        <v>0</v>
      </c>
      <c r="F133" s="505">
        <f t="shared" si="0"/>
        <v>0</v>
      </c>
      <c r="G133" s="462">
        <f t="shared" si="1"/>
        <v>0</v>
      </c>
      <c r="H133" s="499">
        <f>+J97*G133+E133</f>
        <v>0</v>
      </c>
      <c r="I133" s="506">
        <f>+J98*G133+E133</f>
        <v>0</v>
      </c>
      <c r="J133" s="502">
        <f t="shared" si="2"/>
        <v>0</v>
      </c>
      <c r="K133" s="502"/>
      <c r="L133" s="507"/>
      <c r="M133" s="502">
        <f t="shared" si="3"/>
        <v>0</v>
      </c>
      <c r="N133" s="507"/>
      <c r="O133" s="502">
        <f t="shared" si="4"/>
        <v>0</v>
      </c>
      <c r="P133" s="502">
        <f t="shared" si="5"/>
        <v>0</v>
      </c>
      <c r="Q133" s="464"/>
    </row>
    <row r="134" spans="3:17">
      <c r="C134" s="498" t="str">
        <f>IF(D96="","-",+C133+1)</f>
        <v>-</v>
      </c>
      <c r="D134" s="462">
        <f t="shared" si="6"/>
        <v>0</v>
      </c>
      <c r="E134" s="505">
        <f t="shared" si="7"/>
        <v>0</v>
      </c>
      <c r="F134" s="505">
        <f t="shared" ref="F134:F161" si="8">+D134-E134</f>
        <v>0</v>
      </c>
      <c r="G134" s="462">
        <f t="shared" ref="G134:G161" si="9">+(D134+F134)/2</f>
        <v>0</v>
      </c>
      <c r="H134" s="499">
        <f>+J97*G134+E134</f>
        <v>0</v>
      </c>
      <c r="I134" s="506">
        <f>+J98*G134+E134</f>
        <v>0</v>
      </c>
      <c r="J134" s="502">
        <f t="shared" ref="J134:J161" si="10">+I134-H134</f>
        <v>0</v>
      </c>
      <c r="K134" s="502"/>
      <c r="L134" s="507"/>
      <c r="M134" s="502">
        <f t="shared" ref="M134:M161" si="11">IF(L134&lt;&gt;0,+H134-L134,0)</f>
        <v>0</v>
      </c>
      <c r="N134" s="507"/>
      <c r="O134" s="502">
        <f t="shared" ref="O134:O161" si="12">IF(N134&lt;&gt;0,+I134-N134,0)</f>
        <v>0</v>
      </c>
      <c r="P134" s="502">
        <f t="shared" ref="P134:P161" si="13">+O134-M134</f>
        <v>0</v>
      </c>
      <c r="Q134" s="464"/>
    </row>
    <row r="135" spans="3:17">
      <c r="C135" s="498" t="str">
        <f>IF(D96="","-",+C134+1)</f>
        <v>-</v>
      </c>
      <c r="D135" s="462">
        <f t="shared" ref="D135:D161" si="14">F134</f>
        <v>0</v>
      </c>
      <c r="E135" s="505">
        <f t="shared" ref="E135:E161" si="15">IF(D135&gt;$J$99,$J$99,D135)</f>
        <v>0</v>
      </c>
      <c r="F135" s="505">
        <f t="shared" si="8"/>
        <v>0</v>
      </c>
      <c r="G135" s="462">
        <f t="shared" si="9"/>
        <v>0</v>
      </c>
      <c r="H135" s="499">
        <f>+J97*G135+E135</f>
        <v>0</v>
      </c>
      <c r="I135" s="506">
        <f>+J98*G135+E135</f>
        <v>0</v>
      </c>
      <c r="J135" s="502">
        <f t="shared" si="10"/>
        <v>0</v>
      </c>
      <c r="K135" s="502"/>
      <c r="L135" s="507"/>
      <c r="M135" s="502">
        <f t="shared" si="11"/>
        <v>0</v>
      </c>
      <c r="N135" s="507"/>
      <c r="O135" s="502">
        <f t="shared" si="12"/>
        <v>0</v>
      </c>
      <c r="P135" s="502">
        <f t="shared" si="13"/>
        <v>0</v>
      </c>
      <c r="Q135" s="464"/>
    </row>
    <row r="136" spans="3:17">
      <c r="C136" s="498" t="str">
        <f>IF(D96="","-",+C135+1)</f>
        <v>-</v>
      </c>
      <c r="D136" s="462">
        <f t="shared" si="14"/>
        <v>0</v>
      </c>
      <c r="E136" s="505">
        <f t="shared" si="15"/>
        <v>0</v>
      </c>
      <c r="F136" s="505">
        <f t="shared" si="8"/>
        <v>0</v>
      </c>
      <c r="G136" s="462">
        <f t="shared" si="9"/>
        <v>0</v>
      </c>
      <c r="H136" s="499">
        <f>+J97*G136+E136</f>
        <v>0</v>
      </c>
      <c r="I136" s="506">
        <f>+J98*G136+E136</f>
        <v>0</v>
      </c>
      <c r="J136" s="502">
        <f t="shared" si="10"/>
        <v>0</v>
      </c>
      <c r="K136" s="502"/>
      <c r="L136" s="507"/>
      <c r="M136" s="502">
        <f t="shared" si="11"/>
        <v>0</v>
      </c>
      <c r="N136" s="507"/>
      <c r="O136" s="502">
        <f t="shared" si="12"/>
        <v>0</v>
      </c>
      <c r="P136" s="502">
        <f t="shared" si="13"/>
        <v>0</v>
      </c>
      <c r="Q136" s="464"/>
    </row>
    <row r="137" spans="3:17">
      <c r="C137" s="498" t="str">
        <f>IF(D96="","-",+C136+1)</f>
        <v>-</v>
      </c>
      <c r="D137" s="462">
        <f t="shared" si="14"/>
        <v>0</v>
      </c>
      <c r="E137" s="505">
        <f t="shared" si="15"/>
        <v>0</v>
      </c>
      <c r="F137" s="505">
        <f t="shared" si="8"/>
        <v>0</v>
      </c>
      <c r="G137" s="462">
        <f t="shared" si="9"/>
        <v>0</v>
      </c>
      <c r="H137" s="499">
        <f>+J97*G137+E137</f>
        <v>0</v>
      </c>
      <c r="I137" s="506">
        <f>+J98*G137+E137</f>
        <v>0</v>
      </c>
      <c r="J137" s="502">
        <f t="shared" si="10"/>
        <v>0</v>
      </c>
      <c r="K137" s="502"/>
      <c r="L137" s="507"/>
      <c r="M137" s="502">
        <f t="shared" si="11"/>
        <v>0</v>
      </c>
      <c r="N137" s="507"/>
      <c r="O137" s="502">
        <f t="shared" si="12"/>
        <v>0</v>
      </c>
      <c r="P137" s="502">
        <f t="shared" si="13"/>
        <v>0</v>
      </c>
      <c r="Q137" s="464"/>
    </row>
    <row r="138" spans="3:17">
      <c r="C138" s="498" t="str">
        <f>IF(D96="","-",+C137+1)</f>
        <v>-</v>
      </c>
      <c r="D138" s="462">
        <f t="shared" si="14"/>
        <v>0</v>
      </c>
      <c r="E138" s="505">
        <f t="shared" si="15"/>
        <v>0</v>
      </c>
      <c r="F138" s="505">
        <f t="shared" si="8"/>
        <v>0</v>
      </c>
      <c r="G138" s="462">
        <f t="shared" si="9"/>
        <v>0</v>
      </c>
      <c r="H138" s="499">
        <f>+J97*G138+E138</f>
        <v>0</v>
      </c>
      <c r="I138" s="506">
        <f>+J98*G138+E138</f>
        <v>0</v>
      </c>
      <c r="J138" s="502">
        <f t="shared" si="10"/>
        <v>0</v>
      </c>
      <c r="K138" s="502"/>
      <c r="L138" s="507"/>
      <c r="M138" s="502">
        <f t="shared" si="11"/>
        <v>0</v>
      </c>
      <c r="N138" s="507"/>
      <c r="O138" s="502">
        <f t="shared" si="12"/>
        <v>0</v>
      </c>
      <c r="P138" s="502">
        <f t="shared" si="13"/>
        <v>0</v>
      </c>
      <c r="Q138" s="464"/>
    </row>
    <row r="139" spans="3:17">
      <c r="C139" s="498" t="str">
        <f>IF(D96="","-",+C138+1)</f>
        <v>-</v>
      </c>
      <c r="D139" s="462">
        <f t="shared" si="14"/>
        <v>0</v>
      </c>
      <c r="E139" s="505">
        <f t="shared" si="15"/>
        <v>0</v>
      </c>
      <c r="F139" s="505">
        <f t="shared" si="8"/>
        <v>0</v>
      </c>
      <c r="G139" s="462">
        <f t="shared" si="9"/>
        <v>0</v>
      </c>
      <c r="H139" s="499">
        <f>+J97*G139+E139</f>
        <v>0</v>
      </c>
      <c r="I139" s="506">
        <f>+J98*G139+E139</f>
        <v>0</v>
      </c>
      <c r="J139" s="502">
        <f t="shared" si="10"/>
        <v>0</v>
      </c>
      <c r="K139" s="502"/>
      <c r="L139" s="507"/>
      <c r="M139" s="502">
        <f t="shared" si="11"/>
        <v>0</v>
      </c>
      <c r="N139" s="507"/>
      <c r="O139" s="502">
        <f t="shared" si="12"/>
        <v>0</v>
      </c>
      <c r="P139" s="502">
        <f t="shared" si="13"/>
        <v>0</v>
      </c>
      <c r="Q139" s="464"/>
    </row>
    <row r="140" spans="3:17">
      <c r="C140" s="498" t="str">
        <f>IF(D96="","-",+C139+1)</f>
        <v>-</v>
      </c>
      <c r="D140" s="462">
        <f t="shared" si="14"/>
        <v>0</v>
      </c>
      <c r="E140" s="505">
        <f t="shared" si="15"/>
        <v>0</v>
      </c>
      <c r="F140" s="505">
        <f t="shared" si="8"/>
        <v>0</v>
      </c>
      <c r="G140" s="462">
        <f t="shared" si="9"/>
        <v>0</v>
      </c>
      <c r="H140" s="499">
        <f>+J97*G140+E140</f>
        <v>0</v>
      </c>
      <c r="I140" s="506">
        <f>+J98*G140+E140</f>
        <v>0</v>
      </c>
      <c r="J140" s="502">
        <f t="shared" si="10"/>
        <v>0</v>
      </c>
      <c r="K140" s="502"/>
      <c r="L140" s="507"/>
      <c r="M140" s="502">
        <f t="shared" si="11"/>
        <v>0</v>
      </c>
      <c r="N140" s="507"/>
      <c r="O140" s="502">
        <f t="shared" si="12"/>
        <v>0</v>
      </c>
      <c r="P140" s="502">
        <f t="shared" si="13"/>
        <v>0</v>
      </c>
      <c r="Q140" s="464"/>
    </row>
    <row r="141" spans="3:17">
      <c r="C141" s="498" t="str">
        <f>IF(D96="","-",+C140+1)</f>
        <v>-</v>
      </c>
      <c r="D141" s="462">
        <f t="shared" si="14"/>
        <v>0</v>
      </c>
      <c r="E141" s="505">
        <f t="shared" si="15"/>
        <v>0</v>
      </c>
      <c r="F141" s="505">
        <f t="shared" si="8"/>
        <v>0</v>
      </c>
      <c r="G141" s="462">
        <f t="shared" si="9"/>
        <v>0</v>
      </c>
      <c r="H141" s="499">
        <f>+J97*G141+E141</f>
        <v>0</v>
      </c>
      <c r="I141" s="506">
        <f>+J98*G141+E141</f>
        <v>0</v>
      </c>
      <c r="J141" s="502">
        <f t="shared" si="10"/>
        <v>0</v>
      </c>
      <c r="K141" s="502"/>
      <c r="L141" s="507"/>
      <c r="M141" s="502">
        <f t="shared" si="11"/>
        <v>0</v>
      </c>
      <c r="N141" s="507"/>
      <c r="O141" s="502">
        <f t="shared" si="12"/>
        <v>0</v>
      </c>
      <c r="P141" s="502">
        <f t="shared" si="13"/>
        <v>0</v>
      </c>
      <c r="Q141" s="464"/>
    </row>
    <row r="142" spans="3:17">
      <c r="C142" s="498" t="str">
        <f>IF(D96="","-",+C141+1)</f>
        <v>-</v>
      </c>
      <c r="D142" s="462">
        <f t="shared" si="14"/>
        <v>0</v>
      </c>
      <c r="E142" s="505">
        <f t="shared" si="15"/>
        <v>0</v>
      </c>
      <c r="F142" s="505">
        <f t="shared" si="8"/>
        <v>0</v>
      </c>
      <c r="G142" s="462">
        <f t="shared" si="9"/>
        <v>0</v>
      </c>
      <c r="H142" s="499">
        <f>+J97*G142+E142</f>
        <v>0</v>
      </c>
      <c r="I142" s="506">
        <f>+J98*G142+E142</f>
        <v>0</v>
      </c>
      <c r="J142" s="502">
        <f t="shared" si="10"/>
        <v>0</v>
      </c>
      <c r="K142" s="502"/>
      <c r="L142" s="507"/>
      <c r="M142" s="502">
        <f t="shared" si="11"/>
        <v>0</v>
      </c>
      <c r="N142" s="507"/>
      <c r="O142" s="502">
        <f t="shared" si="12"/>
        <v>0</v>
      </c>
      <c r="P142" s="502">
        <f t="shared" si="13"/>
        <v>0</v>
      </c>
      <c r="Q142" s="464"/>
    </row>
    <row r="143" spans="3:17">
      <c r="C143" s="498" t="str">
        <f>IF(D96="","-",+C142+1)</f>
        <v>-</v>
      </c>
      <c r="D143" s="462">
        <f t="shared" si="14"/>
        <v>0</v>
      </c>
      <c r="E143" s="505">
        <f t="shared" si="15"/>
        <v>0</v>
      </c>
      <c r="F143" s="505">
        <f t="shared" si="8"/>
        <v>0</v>
      </c>
      <c r="G143" s="462">
        <f t="shared" si="9"/>
        <v>0</v>
      </c>
      <c r="H143" s="499">
        <f>+J97*G143+E143</f>
        <v>0</v>
      </c>
      <c r="I143" s="506">
        <f>+J98*G143+E143</f>
        <v>0</v>
      </c>
      <c r="J143" s="502">
        <f t="shared" si="10"/>
        <v>0</v>
      </c>
      <c r="K143" s="502"/>
      <c r="L143" s="507"/>
      <c r="M143" s="502">
        <f t="shared" si="11"/>
        <v>0</v>
      </c>
      <c r="N143" s="507"/>
      <c r="O143" s="502">
        <f t="shared" si="12"/>
        <v>0</v>
      </c>
      <c r="P143" s="502">
        <f t="shared" si="13"/>
        <v>0</v>
      </c>
      <c r="Q143" s="464"/>
    </row>
    <row r="144" spans="3:17">
      <c r="C144" s="498" t="str">
        <f>IF(D96="","-",+C143+1)</f>
        <v>-</v>
      </c>
      <c r="D144" s="462">
        <f t="shared" si="14"/>
        <v>0</v>
      </c>
      <c r="E144" s="505">
        <f t="shared" si="15"/>
        <v>0</v>
      </c>
      <c r="F144" s="505">
        <f t="shared" si="8"/>
        <v>0</v>
      </c>
      <c r="G144" s="462">
        <f t="shared" si="9"/>
        <v>0</v>
      </c>
      <c r="H144" s="499">
        <f>+J97*G144+E144</f>
        <v>0</v>
      </c>
      <c r="I144" s="506">
        <f>+J98*G144+E144</f>
        <v>0</v>
      </c>
      <c r="J144" s="502">
        <f t="shared" si="10"/>
        <v>0</v>
      </c>
      <c r="K144" s="502"/>
      <c r="L144" s="507"/>
      <c r="M144" s="502">
        <f t="shared" si="11"/>
        <v>0</v>
      </c>
      <c r="N144" s="507"/>
      <c r="O144" s="502">
        <f t="shared" si="12"/>
        <v>0</v>
      </c>
      <c r="P144" s="502">
        <f t="shared" si="13"/>
        <v>0</v>
      </c>
      <c r="Q144" s="464"/>
    </row>
    <row r="145" spans="3:17">
      <c r="C145" s="498" t="str">
        <f>IF(D96="","-",+C144+1)</f>
        <v>-</v>
      </c>
      <c r="D145" s="462">
        <f t="shared" si="14"/>
        <v>0</v>
      </c>
      <c r="E145" s="505">
        <f t="shared" si="15"/>
        <v>0</v>
      </c>
      <c r="F145" s="505">
        <f t="shared" si="8"/>
        <v>0</v>
      </c>
      <c r="G145" s="462">
        <f t="shared" si="9"/>
        <v>0</v>
      </c>
      <c r="H145" s="499">
        <f>+J97*G145+E145</f>
        <v>0</v>
      </c>
      <c r="I145" s="506">
        <f>+J98*G145+E145</f>
        <v>0</v>
      </c>
      <c r="J145" s="502">
        <f t="shared" si="10"/>
        <v>0</v>
      </c>
      <c r="K145" s="502"/>
      <c r="L145" s="507"/>
      <c r="M145" s="502">
        <f t="shared" si="11"/>
        <v>0</v>
      </c>
      <c r="N145" s="507"/>
      <c r="O145" s="502">
        <f t="shared" si="12"/>
        <v>0</v>
      </c>
      <c r="P145" s="502">
        <f t="shared" si="13"/>
        <v>0</v>
      </c>
      <c r="Q145" s="464"/>
    </row>
    <row r="146" spans="3:17">
      <c r="C146" s="498" t="str">
        <f>IF(D96="","-",+C145+1)</f>
        <v>-</v>
      </c>
      <c r="D146" s="462">
        <f t="shared" si="14"/>
        <v>0</v>
      </c>
      <c r="E146" s="505">
        <f t="shared" si="15"/>
        <v>0</v>
      </c>
      <c r="F146" s="505">
        <f t="shared" si="8"/>
        <v>0</v>
      </c>
      <c r="G146" s="462">
        <f t="shared" si="9"/>
        <v>0</v>
      </c>
      <c r="H146" s="499">
        <f>+J97*G146+E146</f>
        <v>0</v>
      </c>
      <c r="I146" s="506">
        <f>+J98*G146+E146</f>
        <v>0</v>
      </c>
      <c r="J146" s="502">
        <f t="shared" si="10"/>
        <v>0</v>
      </c>
      <c r="K146" s="502"/>
      <c r="L146" s="507"/>
      <c r="M146" s="502">
        <f t="shared" si="11"/>
        <v>0</v>
      </c>
      <c r="N146" s="507"/>
      <c r="O146" s="502">
        <f t="shared" si="12"/>
        <v>0</v>
      </c>
      <c r="P146" s="502">
        <f t="shared" si="13"/>
        <v>0</v>
      </c>
      <c r="Q146" s="464"/>
    </row>
    <row r="147" spans="3:17">
      <c r="C147" s="498" t="str">
        <f>IF(D96="","-",+C146+1)</f>
        <v>-</v>
      </c>
      <c r="D147" s="462">
        <f t="shared" si="14"/>
        <v>0</v>
      </c>
      <c r="E147" s="505">
        <f t="shared" si="15"/>
        <v>0</v>
      </c>
      <c r="F147" s="505">
        <f t="shared" si="8"/>
        <v>0</v>
      </c>
      <c r="G147" s="462">
        <f t="shared" si="9"/>
        <v>0</v>
      </c>
      <c r="H147" s="499">
        <f>+J97*G147+E147</f>
        <v>0</v>
      </c>
      <c r="I147" s="506">
        <f>+J98*G147+E147</f>
        <v>0</v>
      </c>
      <c r="J147" s="502">
        <f t="shared" si="10"/>
        <v>0</v>
      </c>
      <c r="K147" s="502"/>
      <c r="L147" s="507"/>
      <c r="M147" s="502">
        <f t="shared" si="11"/>
        <v>0</v>
      </c>
      <c r="N147" s="507"/>
      <c r="O147" s="502">
        <f t="shared" si="12"/>
        <v>0</v>
      </c>
      <c r="P147" s="502">
        <f t="shared" si="13"/>
        <v>0</v>
      </c>
      <c r="Q147" s="464"/>
    </row>
    <row r="148" spans="3:17">
      <c r="C148" s="498" t="str">
        <f>IF(D96="","-",+C147+1)</f>
        <v>-</v>
      </c>
      <c r="D148" s="462">
        <f t="shared" si="14"/>
        <v>0</v>
      </c>
      <c r="E148" s="505">
        <f t="shared" si="15"/>
        <v>0</v>
      </c>
      <c r="F148" s="505">
        <f t="shared" si="8"/>
        <v>0</v>
      </c>
      <c r="G148" s="462">
        <f t="shared" si="9"/>
        <v>0</v>
      </c>
      <c r="H148" s="499">
        <f>+J97*G148+E148</f>
        <v>0</v>
      </c>
      <c r="I148" s="506">
        <f>+J98*G148+E148</f>
        <v>0</v>
      </c>
      <c r="J148" s="502">
        <f t="shared" si="10"/>
        <v>0</v>
      </c>
      <c r="K148" s="502"/>
      <c r="L148" s="507"/>
      <c r="M148" s="502">
        <f t="shared" si="11"/>
        <v>0</v>
      </c>
      <c r="N148" s="507"/>
      <c r="O148" s="502">
        <f t="shared" si="12"/>
        <v>0</v>
      </c>
      <c r="P148" s="502">
        <f t="shared" si="13"/>
        <v>0</v>
      </c>
      <c r="Q148" s="464"/>
    </row>
    <row r="149" spans="3:17">
      <c r="C149" s="498" t="str">
        <f>IF(D96="","-",+C148+1)</f>
        <v>-</v>
      </c>
      <c r="D149" s="462">
        <f t="shared" si="14"/>
        <v>0</v>
      </c>
      <c r="E149" s="505">
        <f t="shared" si="15"/>
        <v>0</v>
      </c>
      <c r="F149" s="505">
        <f t="shared" si="8"/>
        <v>0</v>
      </c>
      <c r="G149" s="462">
        <f t="shared" si="9"/>
        <v>0</v>
      </c>
      <c r="H149" s="499">
        <f>+J97*G149+E149</f>
        <v>0</v>
      </c>
      <c r="I149" s="506">
        <f>+J98*G149+E149</f>
        <v>0</v>
      </c>
      <c r="J149" s="502">
        <f t="shared" si="10"/>
        <v>0</v>
      </c>
      <c r="K149" s="502"/>
      <c r="L149" s="507"/>
      <c r="M149" s="502">
        <f t="shared" si="11"/>
        <v>0</v>
      </c>
      <c r="N149" s="507"/>
      <c r="O149" s="502">
        <f t="shared" si="12"/>
        <v>0</v>
      </c>
      <c r="P149" s="502">
        <f t="shared" si="13"/>
        <v>0</v>
      </c>
      <c r="Q149" s="464"/>
    </row>
    <row r="150" spans="3:17">
      <c r="C150" s="498" t="str">
        <f>IF(D96="","-",+C149+1)</f>
        <v>-</v>
      </c>
      <c r="D150" s="462">
        <f t="shared" si="14"/>
        <v>0</v>
      </c>
      <c r="E150" s="505">
        <f t="shared" si="15"/>
        <v>0</v>
      </c>
      <c r="F150" s="505">
        <f t="shared" si="8"/>
        <v>0</v>
      </c>
      <c r="G150" s="462">
        <f t="shared" si="9"/>
        <v>0</v>
      </c>
      <c r="H150" s="499">
        <f>+J97*G150+E150</f>
        <v>0</v>
      </c>
      <c r="I150" s="506">
        <f>+J98*G150+E150</f>
        <v>0</v>
      </c>
      <c r="J150" s="502">
        <f t="shared" si="10"/>
        <v>0</v>
      </c>
      <c r="K150" s="502"/>
      <c r="L150" s="507"/>
      <c r="M150" s="502">
        <f t="shared" si="11"/>
        <v>0</v>
      </c>
      <c r="N150" s="507"/>
      <c r="O150" s="502">
        <f t="shared" si="12"/>
        <v>0</v>
      </c>
      <c r="P150" s="502">
        <f t="shared" si="13"/>
        <v>0</v>
      </c>
      <c r="Q150" s="464"/>
    </row>
    <row r="151" spans="3:17">
      <c r="C151" s="498" t="str">
        <f>IF(D96="","-",+C150+1)</f>
        <v>-</v>
      </c>
      <c r="D151" s="462">
        <f t="shared" si="14"/>
        <v>0</v>
      </c>
      <c r="E151" s="505">
        <f t="shared" si="15"/>
        <v>0</v>
      </c>
      <c r="F151" s="505">
        <f t="shared" si="8"/>
        <v>0</v>
      </c>
      <c r="G151" s="462">
        <f t="shared" si="9"/>
        <v>0</v>
      </c>
      <c r="H151" s="499">
        <f>+J97*G151+E151</f>
        <v>0</v>
      </c>
      <c r="I151" s="506">
        <f>+J98*G151+E151</f>
        <v>0</v>
      </c>
      <c r="J151" s="502">
        <f t="shared" si="10"/>
        <v>0</v>
      </c>
      <c r="K151" s="502"/>
      <c r="L151" s="507"/>
      <c r="M151" s="502">
        <f t="shared" si="11"/>
        <v>0</v>
      </c>
      <c r="N151" s="507"/>
      <c r="O151" s="502">
        <f t="shared" si="12"/>
        <v>0</v>
      </c>
      <c r="P151" s="502">
        <f t="shared" si="13"/>
        <v>0</v>
      </c>
      <c r="Q151" s="464"/>
    </row>
    <row r="152" spans="3:17">
      <c r="C152" s="498" t="str">
        <f>IF(D96="","-",+C151+1)</f>
        <v>-</v>
      </c>
      <c r="D152" s="462">
        <f t="shared" si="14"/>
        <v>0</v>
      </c>
      <c r="E152" s="505">
        <f t="shared" si="15"/>
        <v>0</v>
      </c>
      <c r="F152" s="505">
        <f t="shared" si="8"/>
        <v>0</v>
      </c>
      <c r="G152" s="462">
        <f t="shared" si="9"/>
        <v>0</v>
      </c>
      <c r="H152" s="499">
        <f>+J97*G152+E152</f>
        <v>0</v>
      </c>
      <c r="I152" s="506">
        <f>+J98*G152+E152</f>
        <v>0</v>
      </c>
      <c r="J152" s="502">
        <f t="shared" si="10"/>
        <v>0</v>
      </c>
      <c r="K152" s="502"/>
      <c r="L152" s="507"/>
      <c r="M152" s="502">
        <f t="shared" si="11"/>
        <v>0</v>
      </c>
      <c r="N152" s="507"/>
      <c r="O152" s="502">
        <f t="shared" si="12"/>
        <v>0</v>
      </c>
      <c r="P152" s="502">
        <f t="shared" si="13"/>
        <v>0</v>
      </c>
      <c r="Q152" s="464"/>
    </row>
    <row r="153" spans="3:17">
      <c r="C153" s="498" t="str">
        <f>IF(D96="","-",+C152+1)</f>
        <v>-</v>
      </c>
      <c r="D153" s="462">
        <f t="shared" si="14"/>
        <v>0</v>
      </c>
      <c r="E153" s="505">
        <f t="shared" si="15"/>
        <v>0</v>
      </c>
      <c r="F153" s="505">
        <f t="shared" si="8"/>
        <v>0</v>
      </c>
      <c r="G153" s="462">
        <f t="shared" si="9"/>
        <v>0</v>
      </c>
      <c r="H153" s="499">
        <f>+J97*G153+E153</f>
        <v>0</v>
      </c>
      <c r="I153" s="506">
        <f>+J98*G153+E153</f>
        <v>0</v>
      </c>
      <c r="J153" s="502">
        <f t="shared" si="10"/>
        <v>0</v>
      </c>
      <c r="K153" s="502"/>
      <c r="L153" s="507"/>
      <c r="M153" s="502">
        <f t="shared" si="11"/>
        <v>0</v>
      </c>
      <c r="N153" s="507"/>
      <c r="O153" s="502">
        <f t="shared" si="12"/>
        <v>0</v>
      </c>
      <c r="P153" s="502">
        <f t="shared" si="13"/>
        <v>0</v>
      </c>
      <c r="Q153" s="464"/>
    </row>
    <row r="154" spans="3:17">
      <c r="C154" s="498" t="str">
        <f>IF(D96="","-",+C153+1)</f>
        <v>-</v>
      </c>
      <c r="D154" s="462">
        <f t="shared" si="14"/>
        <v>0</v>
      </c>
      <c r="E154" s="505">
        <f t="shared" si="15"/>
        <v>0</v>
      </c>
      <c r="F154" s="505">
        <f t="shared" si="8"/>
        <v>0</v>
      </c>
      <c r="G154" s="462">
        <f t="shared" si="9"/>
        <v>0</v>
      </c>
      <c r="H154" s="499">
        <f>+J97*G154+E154</f>
        <v>0</v>
      </c>
      <c r="I154" s="506">
        <f>+J98*G154+E154</f>
        <v>0</v>
      </c>
      <c r="J154" s="502">
        <f t="shared" si="10"/>
        <v>0</v>
      </c>
      <c r="K154" s="502"/>
      <c r="L154" s="507"/>
      <c r="M154" s="502">
        <f t="shared" si="11"/>
        <v>0</v>
      </c>
      <c r="N154" s="507"/>
      <c r="O154" s="502">
        <f t="shared" si="12"/>
        <v>0</v>
      </c>
      <c r="P154" s="502">
        <f t="shared" si="13"/>
        <v>0</v>
      </c>
      <c r="Q154" s="464"/>
    </row>
    <row r="155" spans="3:17">
      <c r="C155" s="498" t="str">
        <f>IF(D96="","-",+C154+1)</f>
        <v>-</v>
      </c>
      <c r="D155" s="462">
        <f t="shared" si="14"/>
        <v>0</v>
      </c>
      <c r="E155" s="505">
        <f t="shared" si="15"/>
        <v>0</v>
      </c>
      <c r="F155" s="505">
        <f t="shared" si="8"/>
        <v>0</v>
      </c>
      <c r="G155" s="462">
        <f t="shared" si="9"/>
        <v>0</v>
      </c>
      <c r="H155" s="499">
        <f>+J97*G155+E155</f>
        <v>0</v>
      </c>
      <c r="I155" s="506">
        <f>+J98*G155+E155</f>
        <v>0</v>
      </c>
      <c r="J155" s="502">
        <f t="shared" si="10"/>
        <v>0</v>
      </c>
      <c r="K155" s="502"/>
      <c r="L155" s="507"/>
      <c r="M155" s="502">
        <f t="shared" si="11"/>
        <v>0</v>
      </c>
      <c r="N155" s="507"/>
      <c r="O155" s="502">
        <f t="shared" si="12"/>
        <v>0</v>
      </c>
      <c r="P155" s="502">
        <f t="shared" si="13"/>
        <v>0</v>
      </c>
      <c r="Q155" s="464"/>
    </row>
    <row r="156" spans="3:17">
      <c r="C156" s="498" t="str">
        <f>IF(D96="","-",+C155+1)</f>
        <v>-</v>
      </c>
      <c r="D156" s="462">
        <f t="shared" si="14"/>
        <v>0</v>
      </c>
      <c r="E156" s="505">
        <f t="shared" si="15"/>
        <v>0</v>
      </c>
      <c r="F156" s="505">
        <f t="shared" si="8"/>
        <v>0</v>
      </c>
      <c r="G156" s="462">
        <f t="shared" si="9"/>
        <v>0</v>
      </c>
      <c r="H156" s="499">
        <f>+J97*G156+E156</f>
        <v>0</v>
      </c>
      <c r="I156" s="506">
        <f>+J98*G156+E156</f>
        <v>0</v>
      </c>
      <c r="J156" s="502">
        <f t="shared" si="10"/>
        <v>0</v>
      </c>
      <c r="K156" s="502"/>
      <c r="L156" s="507"/>
      <c r="M156" s="502">
        <f t="shared" si="11"/>
        <v>0</v>
      </c>
      <c r="N156" s="507"/>
      <c r="O156" s="502">
        <f t="shared" si="12"/>
        <v>0</v>
      </c>
      <c r="P156" s="502">
        <f t="shared" si="13"/>
        <v>0</v>
      </c>
      <c r="Q156" s="464"/>
    </row>
    <row r="157" spans="3:17">
      <c r="C157" s="498" t="str">
        <f>IF(D96="","-",+C156+1)</f>
        <v>-</v>
      </c>
      <c r="D157" s="462">
        <f t="shared" si="14"/>
        <v>0</v>
      </c>
      <c r="E157" s="505">
        <f t="shared" si="15"/>
        <v>0</v>
      </c>
      <c r="F157" s="505">
        <f t="shared" si="8"/>
        <v>0</v>
      </c>
      <c r="G157" s="462">
        <f t="shared" si="9"/>
        <v>0</v>
      </c>
      <c r="H157" s="499">
        <f>+J97*G157+E157</f>
        <v>0</v>
      </c>
      <c r="I157" s="506">
        <f>+J98*G157+E157</f>
        <v>0</v>
      </c>
      <c r="J157" s="502">
        <f t="shared" si="10"/>
        <v>0</v>
      </c>
      <c r="K157" s="502"/>
      <c r="L157" s="507"/>
      <c r="M157" s="502">
        <f t="shared" si="11"/>
        <v>0</v>
      </c>
      <c r="N157" s="507"/>
      <c r="O157" s="502">
        <f t="shared" si="12"/>
        <v>0</v>
      </c>
      <c r="P157" s="502">
        <f t="shared" si="13"/>
        <v>0</v>
      </c>
      <c r="Q157" s="464"/>
    </row>
    <row r="158" spans="3:17">
      <c r="C158" s="498" t="str">
        <f>IF(D96="","-",+C157+1)</f>
        <v>-</v>
      </c>
      <c r="D158" s="462">
        <f t="shared" si="14"/>
        <v>0</v>
      </c>
      <c r="E158" s="505">
        <f t="shared" si="15"/>
        <v>0</v>
      </c>
      <c r="F158" s="505">
        <f t="shared" si="8"/>
        <v>0</v>
      </c>
      <c r="G158" s="462">
        <f t="shared" si="9"/>
        <v>0</v>
      </c>
      <c r="H158" s="499">
        <f>+J97*G158+E158</f>
        <v>0</v>
      </c>
      <c r="I158" s="506">
        <f>+J98*G158+E158</f>
        <v>0</v>
      </c>
      <c r="J158" s="502">
        <f t="shared" si="10"/>
        <v>0</v>
      </c>
      <c r="K158" s="502"/>
      <c r="L158" s="507"/>
      <c r="M158" s="502">
        <f t="shared" si="11"/>
        <v>0</v>
      </c>
      <c r="N158" s="507"/>
      <c r="O158" s="502">
        <f t="shared" si="12"/>
        <v>0</v>
      </c>
      <c r="P158" s="502">
        <f t="shared" si="13"/>
        <v>0</v>
      </c>
      <c r="Q158" s="464"/>
    </row>
    <row r="159" spans="3:17">
      <c r="C159" s="498" t="str">
        <f>IF(D96="","-",+C158+1)</f>
        <v>-</v>
      </c>
      <c r="D159" s="462">
        <f t="shared" si="14"/>
        <v>0</v>
      </c>
      <c r="E159" s="505">
        <f t="shared" si="15"/>
        <v>0</v>
      </c>
      <c r="F159" s="505">
        <f t="shared" si="8"/>
        <v>0</v>
      </c>
      <c r="G159" s="462">
        <f t="shared" si="9"/>
        <v>0</v>
      </c>
      <c r="H159" s="499">
        <f>+J97*G159+E159</f>
        <v>0</v>
      </c>
      <c r="I159" s="506">
        <f>+J98*G159+E159</f>
        <v>0</v>
      </c>
      <c r="J159" s="502">
        <f t="shared" si="10"/>
        <v>0</v>
      </c>
      <c r="K159" s="502"/>
      <c r="L159" s="507"/>
      <c r="M159" s="502">
        <f t="shared" si="11"/>
        <v>0</v>
      </c>
      <c r="N159" s="507"/>
      <c r="O159" s="502">
        <f t="shared" si="12"/>
        <v>0</v>
      </c>
      <c r="P159" s="502">
        <f t="shared" si="13"/>
        <v>0</v>
      </c>
      <c r="Q159" s="464"/>
    </row>
    <row r="160" spans="3:17">
      <c r="C160" s="498" t="str">
        <f>IF(D96="","-",+C159+1)</f>
        <v>-</v>
      </c>
      <c r="D160" s="462">
        <f t="shared" si="14"/>
        <v>0</v>
      </c>
      <c r="E160" s="505">
        <f t="shared" si="15"/>
        <v>0</v>
      </c>
      <c r="F160" s="505">
        <f t="shared" si="8"/>
        <v>0</v>
      </c>
      <c r="G160" s="462">
        <f t="shared" si="9"/>
        <v>0</v>
      </c>
      <c r="H160" s="499">
        <f>+J97*G160+E160</f>
        <v>0</v>
      </c>
      <c r="I160" s="506">
        <f>+J98*G160+E160</f>
        <v>0</v>
      </c>
      <c r="J160" s="502">
        <f t="shared" si="10"/>
        <v>0</v>
      </c>
      <c r="K160" s="502"/>
      <c r="L160" s="507"/>
      <c r="M160" s="502">
        <f t="shared" si="11"/>
        <v>0</v>
      </c>
      <c r="N160" s="507"/>
      <c r="O160" s="502">
        <f t="shared" si="12"/>
        <v>0</v>
      </c>
      <c r="P160" s="502">
        <f t="shared" si="13"/>
        <v>0</v>
      </c>
      <c r="Q160" s="464"/>
    </row>
    <row r="161" spans="3:17" ht="13.5" thickBot="1">
      <c r="C161" s="509" t="str">
        <f>IF(D96="","-",+C160+1)</f>
        <v>-</v>
      </c>
      <c r="D161" s="510">
        <f t="shared" si="14"/>
        <v>0</v>
      </c>
      <c r="E161" s="511">
        <f t="shared" si="15"/>
        <v>0</v>
      </c>
      <c r="F161" s="511">
        <f t="shared" si="8"/>
        <v>0</v>
      </c>
      <c r="G161" s="510">
        <f t="shared" si="9"/>
        <v>0</v>
      </c>
      <c r="H161" s="512">
        <f>+J97*G161+E161</f>
        <v>0</v>
      </c>
      <c r="I161" s="512">
        <f>+J98*G161+E161</f>
        <v>0</v>
      </c>
      <c r="J161" s="513">
        <f t="shared" si="10"/>
        <v>0</v>
      </c>
      <c r="K161" s="502"/>
      <c r="L161" s="514"/>
      <c r="M161" s="513">
        <f t="shared" si="11"/>
        <v>0</v>
      </c>
      <c r="N161" s="514"/>
      <c r="O161" s="513">
        <f t="shared" si="12"/>
        <v>0</v>
      </c>
      <c r="P161" s="513">
        <f t="shared" si="13"/>
        <v>0</v>
      </c>
      <c r="Q161" s="464"/>
    </row>
    <row r="162" spans="3:17">
      <c r="C162" s="462" t="s">
        <v>288</v>
      </c>
      <c r="D162" s="460"/>
      <c r="E162" s="460">
        <f>SUM(E102:E161)</f>
        <v>0</v>
      </c>
      <c r="F162" s="460"/>
      <c r="G162" s="460"/>
      <c r="H162" s="460">
        <f>SUM(H102:H161)</f>
        <v>0</v>
      </c>
      <c r="I162" s="460">
        <f>SUM(I102:I161)</f>
        <v>0</v>
      </c>
      <c r="J162" s="460">
        <f>SUM(J102:J161)</f>
        <v>0</v>
      </c>
      <c r="K162" s="460"/>
      <c r="L162" s="460"/>
      <c r="M162" s="460"/>
      <c r="N162" s="460"/>
      <c r="O162" s="460"/>
      <c r="Q162" s="460"/>
    </row>
    <row r="163" spans="3:17">
      <c r="D163" s="76"/>
      <c r="E163" s="3"/>
      <c r="F163" s="3"/>
      <c r="G163" s="3"/>
      <c r="H163" s="3"/>
      <c r="I163" s="445"/>
      <c r="J163" s="445"/>
      <c r="K163" s="460"/>
      <c r="L163" s="445"/>
      <c r="M163" s="445"/>
      <c r="N163" s="445"/>
      <c r="O163" s="445"/>
      <c r="Q163" s="460"/>
    </row>
    <row r="164" spans="3:17">
      <c r="C164" s="3" t="s">
        <v>597</v>
      </c>
      <c r="D164" s="76"/>
      <c r="E164" s="3"/>
      <c r="F164" s="3"/>
      <c r="G164" s="3"/>
      <c r="H164" s="3"/>
      <c r="I164" s="445"/>
      <c r="J164" s="445"/>
      <c r="K164" s="460"/>
      <c r="L164" s="445"/>
      <c r="M164" s="445"/>
      <c r="N164" s="445"/>
      <c r="O164" s="445"/>
      <c r="Q164" s="460"/>
    </row>
    <row r="165" spans="3:17">
      <c r="D165" s="76"/>
      <c r="E165" s="3"/>
      <c r="F165" s="3"/>
      <c r="G165" s="3"/>
      <c r="H165" s="3"/>
      <c r="I165" s="445"/>
      <c r="J165" s="445"/>
      <c r="K165" s="460"/>
      <c r="L165" s="445"/>
      <c r="M165" s="445"/>
      <c r="N165" s="445"/>
      <c r="O165" s="445"/>
      <c r="Q165" s="460"/>
    </row>
    <row r="166" spans="3:17">
      <c r="C166" s="3" t="s">
        <v>598</v>
      </c>
      <c r="D166" s="462"/>
      <c r="E166" s="462"/>
      <c r="F166" s="462"/>
      <c r="G166" s="462"/>
      <c r="H166" s="460"/>
      <c r="I166" s="460"/>
      <c r="J166" s="464"/>
      <c r="K166" s="464"/>
      <c r="L166" s="464"/>
      <c r="M166" s="464"/>
      <c r="N166" s="464"/>
      <c r="O166" s="464"/>
      <c r="Q166" s="464"/>
    </row>
    <row r="167" spans="3:17">
      <c r="C167" s="3" t="s">
        <v>476</v>
      </c>
      <c r="D167" s="462"/>
      <c r="E167" s="462"/>
      <c r="F167" s="462"/>
      <c r="G167" s="462"/>
      <c r="H167" s="460"/>
      <c r="I167" s="460"/>
      <c r="J167" s="464"/>
      <c r="K167" s="464"/>
      <c r="L167" s="464"/>
      <c r="M167" s="464"/>
      <c r="N167" s="464"/>
      <c r="O167" s="464"/>
      <c r="Q167" s="464"/>
    </row>
    <row r="168" spans="3:17">
      <c r="C168" s="3" t="s">
        <v>289</v>
      </c>
      <c r="D168" s="462"/>
      <c r="E168" s="462"/>
      <c r="F168" s="462"/>
      <c r="G168" s="462"/>
      <c r="H168" s="460"/>
      <c r="I168" s="460"/>
      <c r="J168" s="464"/>
      <c r="K168" s="464"/>
      <c r="L168" s="464"/>
      <c r="M168" s="464"/>
      <c r="N168" s="464"/>
      <c r="O168" s="464"/>
      <c r="Q168" s="464"/>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A47"/>
  <sheetViews>
    <sheetView view="pageBreakPreview" zoomScaleNormal="100" zoomScaleSheetLayoutView="100" workbookViewId="0">
      <selection activeCell="A3" sqref="A3:O3"/>
    </sheetView>
  </sheetViews>
  <sheetFormatPr defaultRowHeight="12.75"/>
  <cols>
    <col min="1" max="1" width="9.140625" style="15"/>
    <col min="2" max="2" width="37.5703125" style="17" customWidth="1"/>
    <col min="3" max="3" width="31.5703125" style="5" customWidth="1"/>
    <col min="4" max="4" width="14.85546875" style="5" customWidth="1"/>
    <col min="5" max="5" width="18" style="5" customWidth="1"/>
    <col min="6" max="7" width="11.140625" style="5" bestFit="1" customWidth="1"/>
    <col min="8" max="8" width="11.140625" style="200" bestFit="1" customWidth="1"/>
    <col min="9" max="16384" width="9.140625" style="5"/>
  </cols>
  <sheetData>
    <row r="1" spans="1:27" ht="15.75">
      <c r="A1" s="645" t="s">
        <v>114</v>
      </c>
    </row>
    <row r="2" spans="1:27" ht="15.75">
      <c r="A2" s="645" t="s">
        <v>114</v>
      </c>
    </row>
    <row r="3" spans="1:27" ht="15">
      <c r="B3" s="1251" t="s">
        <v>387</v>
      </c>
      <c r="C3" s="1251"/>
      <c r="D3" s="1251"/>
      <c r="E3" s="1251"/>
      <c r="F3" s="1251"/>
      <c r="G3" s="28"/>
      <c r="H3" s="196"/>
      <c r="I3" s="28"/>
      <c r="J3" s="28"/>
      <c r="K3" s="28"/>
      <c r="L3" s="28"/>
      <c r="M3" s="28"/>
      <c r="N3" s="28"/>
      <c r="O3" s="28"/>
      <c r="P3" s="28"/>
    </row>
    <row r="4" spans="1:27" ht="15">
      <c r="B4" s="1252" t="str">
        <f>"Cost of Service Formula Rate Using "&amp;TCOS!L4&amp;" FF1 Balances"</f>
        <v>Cost of Service Formula Rate Using 2026 FF1 Balances</v>
      </c>
      <c r="C4" s="1252"/>
      <c r="D4" s="1252"/>
      <c r="E4" s="1252"/>
      <c r="F4" s="1252"/>
      <c r="G4" s="72"/>
      <c r="H4" s="197"/>
      <c r="I4" s="72"/>
      <c r="J4" s="72"/>
      <c r="K4" s="72"/>
      <c r="L4" s="72"/>
      <c r="M4" s="72"/>
      <c r="N4" s="72"/>
      <c r="O4" s="72"/>
      <c r="P4" s="72"/>
    </row>
    <row r="5" spans="1:27" ht="18">
      <c r="B5" s="1251" t="s">
        <v>547</v>
      </c>
      <c r="C5" s="1251"/>
      <c r="D5" s="1251"/>
      <c r="E5" s="1251"/>
      <c r="F5" s="1251"/>
      <c r="G5" s="122"/>
      <c r="H5" s="198"/>
      <c r="I5" s="122"/>
      <c r="J5" s="122"/>
      <c r="K5" s="122"/>
    </row>
    <row r="6" spans="1:27" ht="18">
      <c r="B6" s="1260" t="str">
        <f>+TCOS!F9</f>
        <v>WHEELING POWER COMPANY</v>
      </c>
      <c r="C6" s="1251"/>
      <c r="D6" s="1251"/>
      <c r="E6" s="1251"/>
      <c r="F6" s="1251"/>
      <c r="G6" s="128"/>
      <c r="H6" s="199"/>
      <c r="I6" s="128"/>
      <c r="J6" s="128"/>
      <c r="K6" s="128"/>
    </row>
    <row r="8" spans="1:27" ht="18.75" customHeight="1">
      <c r="B8" s="13"/>
      <c r="C8" s="112"/>
      <c r="D8" s="113"/>
    </row>
    <row r="10" spans="1:27" ht="18">
      <c r="B10" s="4"/>
      <c r="C10" s="4"/>
      <c r="D10" s="4"/>
      <c r="E10" s="4"/>
      <c r="F10" s="4"/>
      <c r="R10" s="121"/>
      <c r="S10" s="121"/>
      <c r="T10" s="121"/>
      <c r="U10" s="121"/>
      <c r="V10" s="121"/>
      <c r="W10" s="121"/>
      <c r="X10" s="121"/>
      <c r="Y10" s="121"/>
      <c r="Z10" s="121"/>
      <c r="AA10" s="121"/>
    </row>
    <row r="11" spans="1:27">
      <c r="A11" s="633"/>
      <c r="B11" s="111"/>
      <c r="C11" s="113"/>
    </row>
    <row r="12" spans="1:27">
      <c r="A12" s="180"/>
      <c r="B12" s="8"/>
      <c r="C12" s="8"/>
      <c r="D12" s="8"/>
      <c r="E12" s="8"/>
      <c r="F12" s="8"/>
      <c r="G12" s="7"/>
    </row>
    <row r="13" spans="1:27">
      <c r="A13" s="181"/>
      <c r="B13" s="8"/>
      <c r="C13" s="8"/>
      <c r="D13" s="8"/>
      <c r="E13" s="8"/>
      <c r="F13" s="8"/>
      <c r="G13" s="7"/>
    </row>
    <row r="14" spans="1:27">
      <c r="A14" s="207"/>
      <c r="B14" s="8"/>
      <c r="C14" s="8"/>
      <c r="D14" s="8"/>
      <c r="E14" s="8"/>
      <c r="F14" s="8"/>
      <c r="H14" s="5"/>
    </row>
    <row r="15" spans="1:27">
      <c r="A15" s="207"/>
      <c r="B15" s="8"/>
      <c r="C15" s="8"/>
      <c r="D15" s="8"/>
      <c r="E15" s="8"/>
      <c r="F15" s="8"/>
      <c r="H15" s="5"/>
    </row>
    <row r="16" spans="1:27">
      <c r="A16" s="207"/>
      <c r="B16" s="8"/>
      <c r="C16" s="8"/>
      <c r="D16" s="8"/>
      <c r="E16" s="8"/>
      <c r="F16" s="8"/>
      <c r="H16" s="5"/>
    </row>
    <row r="17" spans="1:8" ht="12.75" customHeight="1">
      <c r="A17" s="207"/>
      <c r="B17" s="8"/>
      <c r="C17" s="8"/>
      <c r="D17" s="8"/>
      <c r="E17" s="8"/>
      <c r="F17" s="8"/>
      <c r="H17" s="5"/>
    </row>
    <row r="18" spans="1:8">
      <c r="A18" s="207"/>
      <c r="B18" s="8"/>
      <c r="C18" s="8"/>
      <c r="D18" s="8"/>
      <c r="E18" s="8"/>
      <c r="F18" s="8"/>
      <c r="H18" s="5"/>
    </row>
    <row r="19" spans="1:8">
      <c r="A19" s="207"/>
      <c r="B19" s="8"/>
      <c r="C19" s="8"/>
      <c r="D19" s="8"/>
      <c r="E19" s="8"/>
      <c r="F19" s="8"/>
      <c r="H19" s="5"/>
    </row>
    <row r="20" spans="1:8">
      <c r="A20" s="207"/>
      <c r="B20" s="8"/>
      <c r="C20" s="8"/>
      <c r="D20" s="8"/>
      <c r="E20" s="8"/>
      <c r="F20" s="8"/>
      <c r="H20" s="5"/>
    </row>
    <row r="21" spans="1:8">
      <c r="A21" s="207"/>
      <c r="B21" s="8"/>
      <c r="C21" s="8"/>
      <c r="D21" s="8"/>
      <c r="E21" s="8"/>
      <c r="F21" s="8"/>
      <c r="H21" s="5"/>
    </row>
    <row r="22" spans="1:8">
      <c r="A22" s="207"/>
      <c r="B22" s="8"/>
      <c r="C22" s="8"/>
      <c r="D22" s="8"/>
      <c r="E22" s="8"/>
      <c r="F22" s="8"/>
      <c r="H22" s="5"/>
    </row>
    <row r="23" spans="1:8" ht="12.75" customHeight="1">
      <c r="A23" s="207"/>
      <c r="B23" s="8"/>
      <c r="C23" s="8"/>
      <c r="D23" s="8"/>
      <c r="E23" s="8"/>
      <c r="F23" s="8"/>
      <c r="H23" s="5"/>
    </row>
    <row r="24" spans="1:8" ht="12.75" customHeight="1">
      <c r="A24" s="207"/>
      <c r="B24" s="8"/>
      <c r="C24" s="8"/>
      <c r="D24" s="8"/>
      <c r="E24" s="8"/>
      <c r="F24" s="8"/>
      <c r="H24" s="5"/>
    </row>
    <row r="25" spans="1:8" ht="12.75" customHeight="1">
      <c r="A25" s="207"/>
      <c r="B25" s="8"/>
      <c r="C25" s="8"/>
      <c r="D25" s="8"/>
      <c r="E25" s="8"/>
      <c r="F25" s="8"/>
      <c r="H25" s="5"/>
    </row>
    <row r="26" spans="1:8" ht="12.75" customHeight="1">
      <c r="A26" s="207"/>
      <c r="B26" s="8"/>
      <c r="C26" s="8"/>
      <c r="D26" s="8"/>
      <c r="E26" s="8"/>
      <c r="F26" s="8"/>
      <c r="H26" s="5"/>
    </row>
    <row r="27" spans="1:8" ht="12.75" customHeight="1">
      <c r="A27" s="207"/>
      <c r="B27" s="8"/>
      <c r="C27" s="8"/>
      <c r="D27" s="8"/>
      <c r="E27" s="8"/>
      <c r="F27" s="8"/>
      <c r="H27" s="5"/>
    </row>
    <row r="28" spans="1:8" ht="12.75" customHeight="1">
      <c r="A28" s="207"/>
      <c r="B28" s="8"/>
      <c r="C28" s="8"/>
      <c r="D28" s="8"/>
      <c r="E28" s="8"/>
      <c r="F28" s="8"/>
      <c r="H28" s="5"/>
    </row>
    <row r="29" spans="1:8" ht="12.75" customHeight="1">
      <c r="A29" s="207"/>
      <c r="B29" s="8"/>
      <c r="C29" s="8"/>
      <c r="D29" s="8"/>
      <c r="E29" s="8"/>
      <c r="F29" s="8"/>
      <c r="H29" s="5"/>
    </row>
    <row r="30" spans="1:8" ht="12.75" customHeight="1">
      <c r="A30" s="207"/>
      <c r="B30" s="8"/>
      <c r="C30" s="8"/>
      <c r="D30" s="8"/>
      <c r="E30" s="8"/>
      <c r="F30" s="8"/>
      <c r="H30" s="5"/>
    </row>
    <row r="31" spans="1:8" ht="12.75" customHeight="1">
      <c r="A31" s="207"/>
      <c r="B31" s="8"/>
      <c r="C31" s="8"/>
      <c r="D31" s="8"/>
      <c r="E31" s="8"/>
      <c r="F31" s="8"/>
      <c r="H31" s="5"/>
    </row>
    <row r="32" spans="1:8" ht="12.75" customHeight="1">
      <c r="A32" s="207"/>
      <c r="B32" s="8"/>
      <c r="C32" s="8"/>
      <c r="D32" s="8"/>
      <c r="E32" s="8"/>
      <c r="F32" s="8"/>
      <c r="H32" s="5"/>
    </row>
    <row r="33" spans="1:8" ht="12.75" customHeight="1">
      <c r="A33" s="207"/>
      <c r="B33" s="8"/>
      <c r="C33" s="8"/>
      <c r="D33" s="8"/>
      <c r="E33" s="8"/>
      <c r="F33" s="8"/>
      <c r="H33" s="5"/>
    </row>
    <row r="34" spans="1:8" ht="12.75" customHeight="1">
      <c r="A34" s="207"/>
      <c r="B34" s="8"/>
      <c r="C34" s="8"/>
      <c r="D34" s="8"/>
      <c r="E34" s="8"/>
      <c r="F34" s="8"/>
      <c r="H34" s="5"/>
    </row>
    <row r="35" spans="1:8" ht="12.75" customHeight="1">
      <c r="A35" s="207"/>
      <c r="B35" s="8"/>
      <c r="C35" s="8"/>
      <c r="D35" s="8"/>
      <c r="E35" s="8"/>
      <c r="F35" s="8"/>
      <c r="H35" s="5"/>
    </row>
    <row r="36" spans="1:8" ht="12.75" customHeight="1">
      <c r="A36" s="207"/>
      <c r="B36" s="8"/>
      <c r="C36" s="8"/>
      <c r="D36" s="8"/>
      <c r="E36" s="8"/>
      <c r="F36" s="8"/>
      <c r="H36" s="5"/>
    </row>
    <row r="37" spans="1:8" ht="12.75" customHeight="1">
      <c r="A37" s="207"/>
      <c r="B37" s="8"/>
      <c r="C37" s="8"/>
      <c r="D37" s="8"/>
      <c r="E37" s="8"/>
      <c r="F37" s="8"/>
      <c r="H37" s="5"/>
    </row>
    <row r="38" spans="1:8" ht="12.75" customHeight="1">
      <c r="A38" s="207"/>
      <c r="B38" s="8"/>
      <c r="C38" s="8"/>
      <c r="D38" s="8"/>
      <c r="E38" s="8"/>
      <c r="F38" s="8"/>
      <c r="H38" s="5"/>
    </row>
    <row r="39" spans="1:8" ht="12.75" customHeight="1">
      <c r="A39" s="207"/>
      <c r="B39" s="8"/>
      <c r="C39" s="8"/>
      <c r="D39" s="8"/>
      <c r="E39" s="8"/>
      <c r="F39" s="8"/>
      <c r="H39" s="5"/>
    </row>
    <row r="40" spans="1:8" ht="12.75" customHeight="1">
      <c r="A40" s="207"/>
      <c r="B40" s="8"/>
      <c r="C40" s="8"/>
      <c r="D40" s="8"/>
      <c r="E40" s="8"/>
      <c r="F40" s="8"/>
      <c r="H40" s="5"/>
    </row>
    <row r="41" spans="1:8" ht="12.75" customHeight="1">
      <c r="A41" s="207"/>
      <c r="B41" s="8"/>
      <c r="C41" s="8"/>
      <c r="D41" s="8"/>
      <c r="E41" s="8"/>
      <c r="F41" s="8"/>
      <c r="H41" s="5"/>
    </row>
    <row r="42" spans="1:8" ht="12.75" customHeight="1">
      <c r="A42" s="207"/>
      <c r="B42" s="8"/>
      <c r="C42" s="8"/>
      <c r="D42" s="8"/>
      <c r="E42" s="8"/>
      <c r="F42" s="8"/>
      <c r="H42" s="5"/>
    </row>
    <row r="43" spans="1:8" ht="12.6" customHeight="1">
      <c r="A43" s="207"/>
      <c r="B43" s="8"/>
      <c r="C43" s="8"/>
      <c r="D43" s="8"/>
      <c r="E43" s="8"/>
      <c r="F43" s="8"/>
      <c r="H43" s="5"/>
    </row>
    <row r="44" spans="1:8" ht="12.75" customHeight="1">
      <c r="A44" s="207"/>
      <c r="B44" s="8"/>
      <c r="C44" s="8"/>
      <c r="D44" s="8"/>
      <c r="E44" s="8"/>
      <c r="F44" s="8"/>
      <c r="H44" s="5"/>
    </row>
    <row r="45" spans="1:8">
      <c r="B45" s="8"/>
      <c r="C45" s="8"/>
      <c r="D45" s="8"/>
      <c r="E45" s="8"/>
      <c r="F45" s="8"/>
      <c r="H45" s="5"/>
    </row>
    <row r="46" spans="1:8">
      <c r="B46" s="8"/>
      <c r="C46" s="8"/>
      <c r="D46" s="8"/>
      <c r="E46" s="8"/>
      <c r="F46" s="8"/>
      <c r="H46" s="5"/>
    </row>
    <row r="47" spans="1:8">
      <c r="B47" s="8"/>
      <c r="C47" s="8"/>
      <c r="D47" s="8"/>
      <c r="E47" s="8"/>
      <c r="F47" s="8"/>
      <c r="H47" s="5"/>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3"/>
  <sheetViews>
    <sheetView topLeftCell="C35" zoomScaleNormal="100" zoomScaleSheetLayoutView="70" zoomScalePageLayoutView="50" workbookViewId="0">
      <selection activeCell="G46" sqref="G46:H62"/>
    </sheetView>
  </sheetViews>
  <sheetFormatPr defaultColWidth="11.42578125" defaultRowHeight="12.75"/>
  <cols>
    <col min="1" max="1" width="10.28515625" style="649" customWidth="1"/>
    <col min="2" max="2" width="64.5703125" style="3" customWidth="1"/>
    <col min="3" max="3" width="26.7109375" style="3" bestFit="1" customWidth="1"/>
    <col min="4" max="11" width="20.28515625" style="3" customWidth="1"/>
    <col min="12" max="13" width="20.28515625" style="192" customWidth="1"/>
    <col min="14" max="14" width="15.140625" style="3" customWidth="1"/>
    <col min="15" max="16384" width="11.42578125" style="3"/>
  </cols>
  <sheetData>
    <row r="1" spans="1:13" ht="15">
      <c r="A1" s="1251" t="s">
        <v>387</v>
      </c>
      <c r="B1" s="1251"/>
      <c r="C1" s="1251"/>
      <c r="D1" s="1251"/>
      <c r="E1" s="1251"/>
      <c r="F1" s="1251"/>
      <c r="G1" s="1251"/>
      <c r="H1" s="76"/>
      <c r="I1" s="76"/>
    </row>
    <row r="2" spans="1:13" ht="15">
      <c r="A2" s="1252" t="str">
        <f>"Cost of Service Formula Rate Using Actual/Projected FF1 Balances"</f>
        <v>Cost of Service Formula Rate Using Actual/Projected FF1 Balances</v>
      </c>
      <c r="B2" s="1252"/>
      <c r="C2" s="1252"/>
      <c r="D2" s="1252"/>
      <c r="E2" s="1252"/>
      <c r="F2" s="1252"/>
      <c r="G2" s="1252"/>
      <c r="H2" s="76"/>
      <c r="I2" s="76"/>
      <c r="J2" s="76"/>
      <c r="L2" s="1194"/>
    </row>
    <row r="3" spans="1:13" ht="15">
      <c r="A3" s="1252" t="s">
        <v>653</v>
      </c>
      <c r="B3" s="1252"/>
      <c r="C3" s="1252"/>
      <c r="D3" s="1252"/>
      <c r="E3" s="1252"/>
      <c r="F3" s="1252"/>
      <c r="G3" s="1252"/>
      <c r="H3" s="76"/>
      <c r="I3" s="76"/>
      <c r="J3" s="76"/>
    </row>
    <row r="4" spans="1:13" ht="15">
      <c r="A4" s="1253" t="str">
        <f>TCOS!F9</f>
        <v>WHEELING POWER COMPANY</v>
      </c>
      <c r="B4" s="1253"/>
      <c r="C4" s="1253"/>
      <c r="D4" s="1253"/>
      <c r="E4" s="1253"/>
      <c r="F4" s="1253"/>
      <c r="G4" s="1253"/>
      <c r="H4" s="76"/>
      <c r="I4" s="76"/>
      <c r="J4" s="76"/>
    </row>
    <row r="5" spans="1:13">
      <c r="A5" s="76"/>
      <c r="B5" s="676"/>
      <c r="C5" s="676"/>
      <c r="D5" s="676"/>
      <c r="E5" s="678"/>
      <c r="F5" s="658"/>
      <c r="H5" s="658"/>
      <c r="J5" s="658"/>
      <c r="L5" s="658"/>
    </row>
    <row r="6" spans="1:13" ht="12.75" customHeight="1">
      <c r="A6" s="76"/>
      <c r="B6" s="676"/>
      <c r="C6" s="1254" t="s">
        <v>652</v>
      </c>
      <c r="D6" s="1255"/>
      <c r="E6" s="1255"/>
      <c r="F6" s="1255"/>
      <c r="G6" s="1255"/>
      <c r="H6" s="1255"/>
      <c r="I6" s="1255"/>
      <c r="J6" s="1255"/>
      <c r="K6" s="1255"/>
      <c r="L6" s="1255"/>
      <c r="M6" s="1256"/>
    </row>
    <row r="7" spans="1:13" s="476" customFormat="1" ht="25.5">
      <c r="A7" s="675" t="s">
        <v>642</v>
      </c>
      <c r="B7" s="674" t="s">
        <v>641</v>
      </c>
      <c r="C7" s="662" t="s">
        <v>229</v>
      </c>
      <c r="D7" s="662" t="s">
        <v>650</v>
      </c>
      <c r="E7" s="662" t="s">
        <v>115</v>
      </c>
      <c r="F7" s="662" t="s">
        <v>649</v>
      </c>
      <c r="G7" s="662" t="s">
        <v>438</v>
      </c>
      <c r="H7" s="662" t="s">
        <v>648</v>
      </c>
      <c r="I7" s="662" t="s">
        <v>334</v>
      </c>
      <c r="J7" s="662" t="s">
        <v>647</v>
      </c>
      <c r="K7" s="1186" t="s">
        <v>646</v>
      </c>
      <c r="L7" s="662"/>
      <c r="M7" s="1195"/>
    </row>
    <row r="8" spans="1:13" s="657" customFormat="1">
      <c r="A8" s="656"/>
      <c r="B8" s="659" t="s">
        <v>636</v>
      </c>
      <c r="C8" s="658" t="s">
        <v>635</v>
      </c>
      <c r="D8" s="658" t="s">
        <v>634</v>
      </c>
      <c r="E8" s="658" t="s">
        <v>633</v>
      </c>
      <c r="F8" s="658" t="s">
        <v>632</v>
      </c>
      <c r="G8" s="658" t="s">
        <v>654</v>
      </c>
      <c r="H8" s="658" t="s">
        <v>655</v>
      </c>
      <c r="I8" s="658" t="s">
        <v>645</v>
      </c>
      <c r="J8" s="658" t="s">
        <v>644</v>
      </c>
      <c r="K8" s="1187" t="s">
        <v>643</v>
      </c>
      <c r="L8" s="658"/>
      <c r="M8" s="659"/>
    </row>
    <row r="9" spans="1:13" s="657" customFormat="1" ht="44.25" customHeight="1">
      <c r="A9" s="656"/>
      <c r="B9" s="659" t="s">
        <v>631</v>
      </c>
      <c r="C9" s="673" t="s">
        <v>442</v>
      </c>
      <c r="D9" s="673" t="s">
        <v>447</v>
      </c>
      <c r="E9" s="673" t="s">
        <v>443</v>
      </c>
      <c r="F9" s="673" t="s">
        <v>656</v>
      </c>
      <c r="G9" s="673" t="s">
        <v>444</v>
      </c>
      <c r="H9" s="673" t="s">
        <v>445</v>
      </c>
      <c r="I9" s="1188" t="s">
        <v>657</v>
      </c>
      <c r="J9" s="1188" t="s">
        <v>658</v>
      </c>
      <c r="K9" s="1188" t="s">
        <v>446</v>
      </c>
      <c r="L9" s="1188"/>
      <c r="M9" s="1196"/>
    </row>
    <row r="10" spans="1:13">
      <c r="A10" s="656">
        <v>1</v>
      </c>
      <c r="B10" s="672" t="s">
        <v>629</v>
      </c>
      <c r="C10" s="1183">
        <v>1307385018.2418458</v>
      </c>
      <c r="D10" s="1183">
        <v>30350117.379999995</v>
      </c>
      <c r="E10" s="1183">
        <v>191515841.99096486</v>
      </c>
      <c r="F10" s="1183"/>
      <c r="G10" s="1183">
        <v>332469812.64589524</v>
      </c>
      <c r="H10" s="1183"/>
      <c r="I10" s="1183">
        <v>28050532.785915565</v>
      </c>
      <c r="J10" s="1183">
        <v>-60955.600000000006</v>
      </c>
      <c r="K10" s="1183"/>
      <c r="L10" s="1197"/>
      <c r="M10" s="1198"/>
    </row>
    <row r="11" spans="1:13">
      <c r="A11" s="656">
        <f>+A10+1</f>
        <v>2</v>
      </c>
      <c r="B11" s="672" t="s">
        <v>185</v>
      </c>
      <c r="C11" s="1183">
        <v>1307842250.6398969</v>
      </c>
      <c r="D11" s="1183">
        <v>30350117.379999995</v>
      </c>
      <c r="E11" s="1183">
        <v>191973141.19886127</v>
      </c>
      <c r="F11" s="1183"/>
      <c r="G11" s="1183">
        <v>335929308.32885355</v>
      </c>
      <c r="H11" s="1183"/>
      <c r="I11" s="1183">
        <v>28114032.926698629</v>
      </c>
      <c r="J11" s="1183">
        <v>-60955.600000000006</v>
      </c>
      <c r="K11" s="1183"/>
      <c r="L11" s="1197"/>
      <c r="M11" s="1198"/>
    </row>
    <row r="12" spans="1:13">
      <c r="A12" s="656">
        <f t="shared" ref="A12:A23" si="0">+A11+1</f>
        <v>3</v>
      </c>
      <c r="B12" s="671" t="s">
        <v>559</v>
      </c>
      <c r="C12" s="1183">
        <v>1308320086.1141784</v>
      </c>
      <c r="D12" s="1183">
        <v>30350117.379999995</v>
      </c>
      <c r="E12" s="1183">
        <v>192396893.60900131</v>
      </c>
      <c r="F12" s="1183"/>
      <c r="G12" s="1183">
        <v>338970929.63450384</v>
      </c>
      <c r="H12" s="1183"/>
      <c r="I12" s="1183">
        <v>28177928.643738788</v>
      </c>
      <c r="J12" s="1183">
        <v>-60955.600000000006</v>
      </c>
      <c r="K12" s="1183"/>
      <c r="L12" s="1197"/>
      <c r="M12" s="1198"/>
    </row>
    <row r="13" spans="1:13">
      <c r="A13" s="656">
        <f t="shared" si="0"/>
        <v>4</v>
      </c>
      <c r="B13" s="671" t="s">
        <v>628</v>
      </c>
      <c r="C13" s="1183">
        <v>1309482722.759963</v>
      </c>
      <c r="D13" s="1183">
        <v>30350117.379999995</v>
      </c>
      <c r="E13" s="1183">
        <v>192609909.60535434</v>
      </c>
      <c r="F13" s="1183"/>
      <c r="G13" s="1183">
        <v>344630173.35021985</v>
      </c>
      <c r="H13" s="1183"/>
      <c r="I13" s="1183">
        <v>27894364.670921247</v>
      </c>
      <c r="J13" s="1183">
        <v>-60955.600000000006</v>
      </c>
      <c r="K13" s="1183"/>
      <c r="L13" s="1197"/>
      <c r="M13" s="1198"/>
    </row>
    <row r="14" spans="1:13">
      <c r="A14" s="656">
        <f t="shared" si="0"/>
        <v>5</v>
      </c>
      <c r="B14" s="671" t="s">
        <v>187</v>
      </c>
      <c r="C14" s="1183">
        <v>115928279.63442469</v>
      </c>
      <c r="D14" s="1183">
        <v>30350117.379999995</v>
      </c>
      <c r="E14" s="1183">
        <v>192983134.66777179</v>
      </c>
      <c r="F14" s="1183"/>
      <c r="G14" s="1183">
        <v>346170060.98704129</v>
      </c>
      <c r="H14" s="1183"/>
      <c r="I14" s="1183">
        <v>27930057.557977837</v>
      </c>
      <c r="J14" s="1183">
        <v>-60955.600000000006</v>
      </c>
      <c r="K14" s="1183"/>
      <c r="L14" s="1197"/>
      <c r="M14" s="1198"/>
    </row>
    <row r="15" spans="1:13">
      <c r="A15" s="656">
        <f t="shared" si="0"/>
        <v>6</v>
      </c>
      <c r="B15" s="671" t="s">
        <v>188</v>
      </c>
      <c r="C15" s="1183">
        <v>117622526.11516523</v>
      </c>
      <c r="D15" s="1183">
        <v>30350117.379999995</v>
      </c>
      <c r="E15" s="1183">
        <v>195736123.34366748</v>
      </c>
      <c r="F15" s="1183"/>
      <c r="G15" s="1183">
        <v>347962778.00066638</v>
      </c>
      <c r="H15" s="1183"/>
      <c r="I15" s="1183">
        <v>27974575.532430623</v>
      </c>
      <c r="J15" s="1183">
        <v>-60955.600000000006</v>
      </c>
      <c r="K15" s="1183"/>
      <c r="L15" s="1197"/>
      <c r="M15" s="1198"/>
    </row>
    <row r="16" spans="1:13">
      <c r="A16" s="656">
        <f t="shared" si="0"/>
        <v>7</v>
      </c>
      <c r="B16" s="671" t="s">
        <v>382</v>
      </c>
      <c r="C16" s="1183">
        <v>119345262.48119593</v>
      </c>
      <c r="D16" s="1183">
        <v>30350117.379999995</v>
      </c>
      <c r="E16" s="1183">
        <v>195996045.02862269</v>
      </c>
      <c r="F16" s="1183"/>
      <c r="G16" s="1183">
        <v>349904315.57409209</v>
      </c>
      <c r="H16" s="1183"/>
      <c r="I16" s="1183">
        <v>27762202.029539201</v>
      </c>
      <c r="J16" s="1183">
        <v>-60955.600000000006</v>
      </c>
      <c r="K16" s="1183"/>
      <c r="L16" s="1197"/>
      <c r="M16" s="1198"/>
    </row>
    <row r="17" spans="1:13">
      <c r="A17" s="656">
        <f t="shared" si="0"/>
        <v>8</v>
      </c>
      <c r="B17" s="671" t="s">
        <v>189</v>
      </c>
      <c r="C17" s="1183">
        <v>119895161.96810937</v>
      </c>
      <c r="D17" s="1183">
        <v>30350117.379999995</v>
      </c>
      <c r="E17" s="1183">
        <v>196340479.46517226</v>
      </c>
      <c r="F17" s="1183"/>
      <c r="G17" s="1183">
        <v>351794819.08800101</v>
      </c>
      <c r="H17" s="1183"/>
      <c r="I17" s="1183">
        <v>27850548.211393509</v>
      </c>
      <c r="J17" s="1183">
        <v>-60955.600000000006</v>
      </c>
      <c r="K17" s="1183"/>
      <c r="L17" s="1197"/>
      <c r="M17" s="1198"/>
    </row>
    <row r="18" spans="1:13">
      <c r="A18" s="656">
        <f t="shared" si="0"/>
        <v>9</v>
      </c>
      <c r="B18" s="671" t="s">
        <v>627</v>
      </c>
      <c r="C18" s="1183">
        <v>120305473.88353491</v>
      </c>
      <c r="D18" s="1183">
        <v>30350117.379999995</v>
      </c>
      <c r="E18" s="1183">
        <v>196632985.81234485</v>
      </c>
      <c r="F18" s="1183"/>
      <c r="G18" s="1183">
        <v>353663353.44545025</v>
      </c>
      <c r="H18" s="1183"/>
      <c r="I18" s="1183">
        <v>27887977.948858913</v>
      </c>
      <c r="J18" s="1183">
        <v>-60955.600000000006</v>
      </c>
      <c r="K18" s="1183"/>
      <c r="L18" s="1197"/>
      <c r="M18" s="1198"/>
    </row>
    <row r="19" spans="1:13">
      <c r="A19" s="656">
        <f t="shared" si="0"/>
        <v>10</v>
      </c>
      <c r="B19" s="671" t="s">
        <v>192</v>
      </c>
      <c r="C19" s="1183">
        <v>120518565.30685663</v>
      </c>
      <c r="D19" s="1183">
        <v>30350117.379999995</v>
      </c>
      <c r="E19" s="1183">
        <v>196991639.09333968</v>
      </c>
      <c r="F19" s="1183"/>
      <c r="G19" s="1183">
        <v>355657778.21108025</v>
      </c>
      <c r="H19" s="1183"/>
      <c r="I19" s="1183">
        <v>27614129.548059527</v>
      </c>
      <c r="J19" s="1183">
        <v>-60955.600000000006</v>
      </c>
      <c r="K19" s="1183"/>
      <c r="L19" s="1197"/>
      <c r="M19" s="1198"/>
    </row>
    <row r="20" spans="1:13">
      <c r="A20" s="656">
        <f t="shared" si="0"/>
        <v>11</v>
      </c>
      <c r="B20" s="671" t="s">
        <v>560</v>
      </c>
      <c r="C20" s="1183">
        <v>120595864.12384558</v>
      </c>
      <c r="D20" s="1183">
        <v>30350117.379999995</v>
      </c>
      <c r="E20" s="1183">
        <v>197447639.78883809</v>
      </c>
      <c r="F20" s="1183"/>
      <c r="G20" s="1183">
        <v>357872644.9882707</v>
      </c>
      <c r="H20" s="1183"/>
      <c r="I20" s="1183">
        <v>27651934.239412237</v>
      </c>
      <c r="J20" s="1183">
        <v>-60955.600000000006</v>
      </c>
      <c r="K20" s="1183"/>
      <c r="L20" s="1197"/>
      <c r="M20" s="1198"/>
    </row>
    <row r="21" spans="1:13">
      <c r="A21" s="656">
        <f t="shared" si="0"/>
        <v>12</v>
      </c>
      <c r="B21" s="671" t="s">
        <v>561</v>
      </c>
      <c r="C21" s="1183">
        <v>120686413.71007991</v>
      </c>
      <c r="D21" s="1183">
        <v>30350117.379999995</v>
      </c>
      <c r="E21" s="1183">
        <v>198945537.31921861</v>
      </c>
      <c r="F21" s="1183"/>
      <c r="G21" s="1183">
        <v>360154841.24017817</v>
      </c>
      <c r="H21" s="1183"/>
      <c r="I21" s="1183">
        <v>27704034.310409453</v>
      </c>
      <c r="J21" s="1183">
        <v>-60955.600000000006</v>
      </c>
      <c r="K21" s="1183"/>
      <c r="L21" s="1197"/>
      <c r="M21" s="1198"/>
    </row>
    <row r="22" spans="1:13">
      <c r="A22" s="655">
        <f t="shared" si="0"/>
        <v>13</v>
      </c>
      <c r="B22" s="670" t="s">
        <v>626</v>
      </c>
      <c r="C22" s="1183">
        <v>175900175.99402285</v>
      </c>
      <c r="D22" s="1183">
        <v>30350117.379999995</v>
      </c>
      <c r="E22" s="1183">
        <v>198669100.77707398</v>
      </c>
      <c r="F22" s="1183"/>
      <c r="G22" s="1183">
        <v>362871298.19103843</v>
      </c>
      <c r="H22" s="1183"/>
      <c r="I22" s="1183">
        <v>27290303.350873228</v>
      </c>
      <c r="J22" s="1183">
        <v>-60955.600000000006</v>
      </c>
      <c r="K22" s="1183"/>
      <c r="L22" s="1197"/>
      <c r="M22" s="1199"/>
    </row>
    <row r="23" spans="1:13" ht="13.5" thickBot="1">
      <c r="A23" s="858">
        <f t="shared" si="0"/>
        <v>14</v>
      </c>
      <c r="B23" s="859" t="s">
        <v>853</v>
      </c>
      <c r="C23" s="1184">
        <f>SUM(C10:C22)/13</f>
        <v>489525215.45947075</v>
      </c>
      <c r="D23" s="1184">
        <f t="shared" ref="D23:K23" si="1">SUM(D10:D22)/13</f>
        <v>30350117.379999995</v>
      </c>
      <c r="E23" s="1184">
        <f t="shared" si="1"/>
        <v>195249113.20771009</v>
      </c>
      <c r="F23" s="1184">
        <f t="shared" si="1"/>
        <v>0</v>
      </c>
      <c r="G23" s="1184">
        <f t="shared" si="1"/>
        <v>349080931.82194543</v>
      </c>
      <c r="H23" s="1184">
        <f t="shared" si="1"/>
        <v>0</v>
      </c>
      <c r="I23" s="1184">
        <f t="shared" si="1"/>
        <v>27838663.212017596</v>
      </c>
      <c r="J23" s="1184">
        <f t="shared" si="1"/>
        <v>-60955.599999999984</v>
      </c>
      <c r="K23" s="1184">
        <f t="shared" si="1"/>
        <v>0</v>
      </c>
      <c r="L23" s="1184"/>
      <c r="M23" s="1185"/>
    </row>
    <row r="24" spans="1:13" ht="13.5" thickTop="1">
      <c r="A24" s="76"/>
      <c r="B24" s="651"/>
      <c r="C24" s="667"/>
      <c r="D24" s="650"/>
      <c r="E24" s="650"/>
      <c r="F24" s="650"/>
      <c r="G24" s="667"/>
      <c r="H24" s="667"/>
      <c r="I24" s="667"/>
      <c r="J24" s="677"/>
      <c r="K24" s="677"/>
    </row>
    <row r="25" spans="1:13" ht="12.75" customHeight="1">
      <c r="A25" s="76"/>
      <c r="B25" s="676"/>
      <c r="C25" s="1248" t="s">
        <v>651</v>
      </c>
      <c r="D25" s="1249"/>
      <c r="E25" s="1249"/>
      <c r="F25" s="1249"/>
      <c r="G25" s="1249"/>
      <c r="H25" s="1249"/>
      <c r="I25" s="1249"/>
      <c r="J25" s="1249"/>
      <c r="K25" s="1249"/>
      <c r="L25" s="1249"/>
      <c r="M25" s="1250"/>
    </row>
    <row r="26" spans="1:13" s="476" customFormat="1" ht="25.5">
      <c r="A26" s="675" t="s">
        <v>642</v>
      </c>
      <c r="B26" s="674" t="s">
        <v>641</v>
      </c>
      <c r="C26" s="662" t="s">
        <v>229</v>
      </c>
      <c r="D26" s="662" t="s">
        <v>650</v>
      </c>
      <c r="E26" s="662" t="s">
        <v>115</v>
      </c>
      <c r="F26" s="662" t="s">
        <v>649</v>
      </c>
      <c r="G26" s="662" t="s">
        <v>438</v>
      </c>
      <c r="H26" s="662" t="s">
        <v>648</v>
      </c>
      <c r="I26" s="662" t="s">
        <v>334</v>
      </c>
      <c r="J26" s="662" t="s">
        <v>647</v>
      </c>
      <c r="K26" s="662" t="s">
        <v>646</v>
      </c>
      <c r="L26" s="1186"/>
      <c r="M26" s="1195"/>
    </row>
    <row r="27" spans="1:13" s="657" customFormat="1">
      <c r="A27" s="656"/>
      <c r="B27" s="659" t="s">
        <v>636</v>
      </c>
      <c r="C27" s="658" t="s">
        <v>635</v>
      </c>
      <c r="D27" s="658" t="s">
        <v>634</v>
      </c>
      <c r="E27" s="658" t="s">
        <v>633</v>
      </c>
      <c r="F27" s="658" t="s">
        <v>632</v>
      </c>
      <c r="G27" s="658" t="s">
        <v>654</v>
      </c>
      <c r="H27" s="658" t="s">
        <v>655</v>
      </c>
      <c r="I27" s="658" t="s">
        <v>645</v>
      </c>
      <c r="J27" s="658" t="s">
        <v>644</v>
      </c>
      <c r="K27" s="1187" t="s">
        <v>643</v>
      </c>
      <c r="L27" s="658"/>
      <c r="M27" s="659"/>
    </row>
    <row r="28" spans="1:13" s="657" customFormat="1" ht="44.25" customHeight="1">
      <c r="A28" s="656"/>
      <c r="B28" s="659" t="s">
        <v>631</v>
      </c>
      <c r="C28" s="1188" t="s">
        <v>379</v>
      </c>
      <c r="D28" s="1188" t="s">
        <v>659</v>
      </c>
      <c r="E28" s="1188" t="s">
        <v>380</v>
      </c>
      <c r="F28" s="1188" t="s">
        <v>660</v>
      </c>
      <c r="G28" s="1188" t="s">
        <v>507</v>
      </c>
      <c r="H28" s="1188" t="s">
        <v>661</v>
      </c>
      <c r="I28" s="1188" t="s">
        <v>481</v>
      </c>
      <c r="J28" s="1188" t="s">
        <v>662</v>
      </c>
      <c r="K28" s="1188" t="s">
        <v>508</v>
      </c>
      <c r="L28" s="1188"/>
      <c r="M28" s="1196"/>
    </row>
    <row r="29" spans="1:13">
      <c r="A29" s="656">
        <f>+A23+1</f>
        <v>15</v>
      </c>
      <c r="B29" s="672" t="s">
        <v>629</v>
      </c>
      <c r="C29" s="1183">
        <v>558429972.46873748</v>
      </c>
      <c r="D29" s="1183">
        <v>5571655.8799999999</v>
      </c>
      <c r="E29" s="1183">
        <v>45735619.307122909</v>
      </c>
      <c r="F29" s="1183"/>
      <c r="G29" s="1183">
        <v>99430177.188024908</v>
      </c>
      <c r="H29" s="1183"/>
      <c r="I29" s="1183">
        <v>12612235.155264689</v>
      </c>
      <c r="J29" s="1183">
        <v>100188.89898358469</v>
      </c>
      <c r="K29" s="1183"/>
      <c r="L29" s="1197"/>
      <c r="M29" s="1200"/>
    </row>
    <row r="30" spans="1:13">
      <c r="A30" s="656">
        <f>+A29+1</f>
        <v>16</v>
      </c>
      <c r="B30" s="672" t="s">
        <v>185</v>
      </c>
      <c r="C30" s="1183">
        <v>560507632.37506223</v>
      </c>
      <c r="D30" s="1183">
        <v>5607348.1199999992</v>
      </c>
      <c r="E30" s="1183">
        <v>45942389.234455399</v>
      </c>
      <c r="F30" s="1183"/>
      <c r="G30" s="1183">
        <v>100251927.46582638</v>
      </c>
      <c r="H30" s="1183"/>
      <c r="I30" s="1183">
        <v>12883645.008393483</v>
      </c>
      <c r="J30" s="1183">
        <v>100494.56881418213</v>
      </c>
      <c r="K30" s="1183"/>
      <c r="L30" s="1197"/>
      <c r="M30" s="1198"/>
    </row>
    <row r="31" spans="1:13">
      <c r="A31" s="656">
        <f t="shared" ref="A31:A42" si="2">+A30+1</f>
        <v>17</v>
      </c>
      <c r="B31" s="671" t="s">
        <v>559</v>
      </c>
      <c r="C31" s="1183">
        <v>562317148.76237655</v>
      </c>
      <c r="D31" s="1183">
        <v>5643040.3599999994</v>
      </c>
      <c r="E31" s="1183">
        <v>46151071.832758643</v>
      </c>
      <c r="F31" s="1183"/>
      <c r="G31" s="1183">
        <v>101082347.47531958</v>
      </c>
      <c r="H31" s="1183"/>
      <c r="I31" s="1183">
        <v>13155278.045248376</v>
      </c>
      <c r="J31" s="1183">
        <v>100800.23864477957</v>
      </c>
      <c r="K31" s="1183"/>
      <c r="L31" s="1197"/>
      <c r="M31" s="1198"/>
    </row>
    <row r="32" spans="1:13">
      <c r="A32" s="656">
        <f t="shared" si="2"/>
        <v>18</v>
      </c>
      <c r="B32" s="671" t="s">
        <v>628</v>
      </c>
      <c r="C32" s="1183">
        <v>563802618.99736726</v>
      </c>
      <c r="D32" s="1183">
        <v>5678732.5999999996</v>
      </c>
      <c r="E32" s="1183">
        <v>46359659.155418411</v>
      </c>
      <c r="F32" s="1183"/>
      <c r="G32" s="1183">
        <v>101918200.03248842</v>
      </c>
      <c r="H32" s="1183"/>
      <c r="I32" s="1183">
        <v>13106550.52924455</v>
      </c>
      <c r="J32" s="1183">
        <v>101105.90847537701</v>
      </c>
      <c r="K32" s="1183"/>
      <c r="L32" s="1197"/>
      <c r="M32" s="1198"/>
    </row>
    <row r="33" spans="1:13">
      <c r="A33" s="656">
        <f t="shared" si="2"/>
        <v>19</v>
      </c>
      <c r="B33" s="671" t="s">
        <v>187</v>
      </c>
      <c r="C33" s="1183">
        <v>77841192.14511764</v>
      </c>
      <c r="D33" s="1183">
        <v>5714424.8399999989</v>
      </c>
      <c r="E33" s="1183">
        <v>46567288.040786758</v>
      </c>
      <c r="F33" s="1183"/>
      <c r="G33" s="1183">
        <v>102794679.53146476</v>
      </c>
      <c r="H33" s="1183"/>
      <c r="I33" s="1183">
        <v>13373698.817729667</v>
      </c>
      <c r="J33" s="1183">
        <v>101411.57830597446</v>
      </c>
      <c r="K33" s="1183"/>
      <c r="L33" s="1197"/>
      <c r="M33" s="1198"/>
    </row>
    <row r="34" spans="1:13">
      <c r="A34" s="656">
        <f t="shared" si="2"/>
        <v>20</v>
      </c>
      <c r="B34" s="671" t="s">
        <v>188</v>
      </c>
      <c r="C34" s="1183">
        <v>79767140.137578487</v>
      </c>
      <c r="D34" s="1183">
        <v>5750117.0799999991</v>
      </c>
      <c r="E34" s="1183">
        <v>46775741.833019041</v>
      </c>
      <c r="F34" s="1183"/>
      <c r="G34" s="1183">
        <v>103678618.08172341</v>
      </c>
      <c r="H34" s="1183"/>
      <c r="I34" s="1183">
        <v>13640984.830236882</v>
      </c>
      <c r="J34" s="1183">
        <v>101717.24813657191</v>
      </c>
      <c r="K34" s="1183"/>
      <c r="L34" s="1197"/>
      <c r="M34" s="1198"/>
    </row>
    <row r="35" spans="1:13">
      <c r="A35" s="656">
        <f t="shared" si="2"/>
        <v>21</v>
      </c>
      <c r="B35" s="671" t="s">
        <v>382</v>
      </c>
      <c r="C35" s="1183">
        <v>81742298.753792048</v>
      </c>
      <c r="D35" s="1183">
        <v>5785809.3199999984</v>
      </c>
      <c r="E35" s="1183">
        <v>46989553.575640656</v>
      </c>
      <c r="F35" s="1183"/>
      <c r="G35" s="1183">
        <v>104569227.25121807</v>
      </c>
      <c r="H35" s="1183"/>
      <c r="I35" s="1183">
        <v>13659883.746262919</v>
      </c>
      <c r="J35" s="1183">
        <v>102022.91796716936</v>
      </c>
      <c r="K35" s="1183"/>
      <c r="L35" s="1197"/>
      <c r="M35" s="1198"/>
    </row>
    <row r="36" spans="1:13">
      <c r="A36" s="656">
        <f t="shared" si="2"/>
        <v>22</v>
      </c>
      <c r="B36" s="671" t="s">
        <v>189</v>
      </c>
      <c r="C36" s="1183">
        <v>83843109.501010776</v>
      </c>
      <c r="D36" s="1183">
        <v>5821501.5599999996</v>
      </c>
      <c r="E36" s="1183">
        <v>47205073.022449046</v>
      </c>
      <c r="F36" s="1183"/>
      <c r="G36" s="1183">
        <v>105472926.18916155</v>
      </c>
      <c r="H36" s="1183"/>
      <c r="I36" s="1183">
        <v>13923727.817073599</v>
      </c>
      <c r="J36" s="1183">
        <v>102328.5877977668</v>
      </c>
      <c r="K36" s="1183"/>
      <c r="L36" s="1197"/>
      <c r="M36" s="1198"/>
    </row>
    <row r="37" spans="1:13">
      <c r="A37" s="656">
        <f t="shared" si="2"/>
        <v>23</v>
      </c>
      <c r="B37" s="671" t="s">
        <v>627</v>
      </c>
      <c r="C37" s="1183">
        <v>85938055.832860351</v>
      </c>
      <c r="D37" s="1183">
        <v>5857193.7999999989</v>
      </c>
      <c r="E37" s="1183">
        <v>47423112.778491095</v>
      </c>
      <c r="F37" s="1183"/>
      <c r="G37" s="1183">
        <v>106385000.38627903</v>
      </c>
      <c r="H37" s="1183"/>
      <c r="I37" s="1183">
        <v>14187760.052333981</v>
      </c>
      <c r="J37" s="1183">
        <v>102634.25762836426</v>
      </c>
      <c r="K37" s="1183"/>
      <c r="L37" s="1197"/>
      <c r="M37" s="1198"/>
    </row>
    <row r="38" spans="1:13">
      <c r="A38" s="656">
        <f t="shared" si="2"/>
        <v>24</v>
      </c>
      <c r="B38" s="671" t="s">
        <v>192</v>
      </c>
      <c r="C38" s="1183">
        <v>88026620.6080935</v>
      </c>
      <c r="D38" s="1183">
        <v>5892886.0399999991</v>
      </c>
      <c r="E38" s="1183">
        <v>47640452.825812526</v>
      </c>
      <c r="F38" s="1183"/>
      <c r="G38" s="1183">
        <v>107300450.13187456</v>
      </c>
      <c r="H38" s="1183"/>
      <c r="I38" s="1183">
        <v>14140887.161920512</v>
      </c>
      <c r="J38" s="1183">
        <v>102939.9274589617</v>
      </c>
      <c r="K38" s="1183"/>
      <c r="L38" s="1197"/>
      <c r="M38" s="1198"/>
    </row>
    <row r="39" spans="1:13">
      <c r="A39" s="656">
        <f t="shared" si="2"/>
        <v>25</v>
      </c>
      <c r="B39" s="671" t="s">
        <v>560</v>
      </c>
      <c r="C39" s="1183">
        <v>90111335.465585232</v>
      </c>
      <c r="D39" s="1183">
        <v>5928578.2799999993</v>
      </c>
      <c r="E39" s="1183">
        <v>47859495.641981512</v>
      </c>
      <c r="F39" s="1183"/>
      <c r="G39" s="1183">
        <v>108227422.32755268</v>
      </c>
      <c r="H39" s="1183"/>
      <c r="I39" s="1183">
        <v>14400491.626609083</v>
      </c>
      <c r="J39" s="1183">
        <v>103245.59728955914</v>
      </c>
      <c r="K39" s="1183"/>
      <c r="L39" s="1197"/>
      <c r="M39" s="1198"/>
    </row>
    <row r="40" spans="1:13">
      <c r="A40" s="656">
        <f t="shared" si="2"/>
        <v>26</v>
      </c>
      <c r="B40" s="671" t="s">
        <v>561</v>
      </c>
      <c r="C40" s="1183">
        <v>92217858.09213376</v>
      </c>
      <c r="D40" s="1183">
        <v>5964270.5199999986</v>
      </c>
      <c r="E40" s="1183">
        <v>48079278.922849841</v>
      </c>
      <c r="F40" s="1183"/>
      <c r="G40" s="1183">
        <v>109168996.17011419</v>
      </c>
      <c r="H40" s="1183"/>
      <c r="I40" s="1183">
        <v>14660242.341756292</v>
      </c>
      <c r="J40" s="1183">
        <v>103551.26712015658</v>
      </c>
      <c r="K40" s="1183"/>
      <c r="L40" s="1197"/>
      <c r="M40" s="1198"/>
    </row>
    <row r="41" spans="1:13">
      <c r="A41" s="655">
        <f t="shared" si="2"/>
        <v>27</v>
      </c>
      <c r="B41" s="670" t="s">
        <v>626</v>
      </c>
      <c r="C41" s="1183">
        <v>94341457.727085233</v>
      </c>
      <c r="D41" s="1183">
        <v>5999962.7599999998</v>
      </c>
      <c r="E41" s="1183">
        <v>48301635.877411276</v>
      </c>
      <c r="F41" s="1183"/>
      <c r="G41" s="1183">
        <v>110110626.48337597</v>
      </c>
      <c r="H41" s="1183"/>
      <c r="I41" s="1183">
        <v>14463374.630315065</v>
      </c>
      <c r="J41" s="1183">
        <v>103856.93695075403</v>
      </c>
      <c r="K41" s="1183"/>
      <c r="L41" s="1197"/>
      <c r="M41" s="1198"/>
    </row>
    <row r="42" spans="1:13" ht="13.5" thickBot="1">
      <c r="A42" s="669">
        <f t="shared" si="2"/>
        <v>28</v>
      </c>
      <c r="B42" s="859" t="s">
        <v>853</v>
      </c>
      <c r="C42" s="1184">
        <f>SUM(C29:C41)/13</f>
        <v>232222033.91283086</v>
      </c>
      <c r="D42" s="1184">
        <f t="shared" ref="D42" si="3">SUM(D29:D41)/13</f>
        <v>5785809.3200000012</v>
      </c>
      <c r="E42" s="1184">
        <f t="shared" ref="E42" si="4">SUM(E29:E41)/13</f>
        <v>47002336.311399773</v>
      </c>
      <c r="F42" s="1184">
        <f t="shared" ref="F42" si="5">SUM(F29:F41)/13</f>
        <v>0</v>
      </c>
      <c r="G42" s="1184">
        <f t="shared" ref="G42" si="6">SUM(G29:G41)/13</f>
        <v>104645430.67034027</v>
      </c>
      <c r="H42" s="1184">
        <f t="shared" ref="H42" si="7">SUM(H29:H41)/13</f>
        <v>0</v>
      </c>
      <c r="I42" s="1184">
        <f t="shared" ref="I42" si="8">SUM(I29:I41)/13</f>
        <v>13708366.135568392</v>
      </c>
      <c r="J42" s="1184">
        <f t="shared" ref="J42" si="9">SUM(J29:J41)/13</f>
        <v>102022.91796716937</v>
      </c>
      <c r="K42" s="1184">
        <f t="shared" ref="K42" si="10">SUM(K29:K41)/13</f>
        <v>0</v>
      </c>
      <c r="L42" s="1184"/>
      <c r="M42" s="1185"/>
    </row>
    <row r="43" spans="1:13" ht="13.5" thickTop="1">
      <c r="A43" s="76"/>
      <c r="B43" s="651"/>
      <c r="C43" s="667"/>
      <c r="D43" s="650"/>
      <c r="E43" s="650"/>
      <c r="F43" s="1201"/>
      <c r="G43" s="1202"/>
      <c r="H43" s="192"/>
      <c r="I43"/>
      <c r="J43"/>
      <c r="K43"/>
    </row>
    <row r="44" spans="1:13">
      <c r="A44" s="76"/>
      <c r="B44" s="651"/>
      <c r="C44" s="667"/>
      <c r="D44" s="650"/>
      <c r="E44" s="650"/>
      <c r="F44" s="1201"/>
      <c r="G44" s="1202"/>
      <c r="H44" s="1202"/>
      <c r="I44" s="667"/>
    </row>
    <row r="45" spans="1:13">
      <c r="A45" s="666"/>
      <c r="B45" s="665"/>
      <c r="C45" s="1189"/>
      <c r="D45" s="1190"/>
      <c r="E45" s="1190"/>
      <c r="F45" s="1190"/>
      <c r="G45" s="1190"/>
      <c r="H45" s="1203"/>
      <c r="I45"/>
      <c r="J45"/>
      <c r="K45"/>
    </row>
    <row r="46" spans="1:13" ht="72" customHeight="1">
      <c r="A46" s="664" t="s">
        <v>642</v>
      </c>
      <c r="B46" s="658" t="s">
        <v>641</v>
      </c>
      <c r="C46" s="663" t="s">
        <v>640</v>
      </c>
      <c r="D46" s="662" t="s">
        <v>639</v>
      </c>
      <c r="E46" s="662" t="s">
        <v>638</v>
      </c>
      <c r="F46" s="662" t="s">
        <v>637</v>
      </c>
      <c r="G46" s="662"/>
      <c r="H46" s="661"/>
      <c r="I46"/>
      <c r="J46"/>
      <c r="K46"/>
    </row>
    <row r="47" spans="1:13" s="657" customFormat="1">
      <c r="A47" s="656"/>
      <c r="B47" s="658" t="s">
        <v>636</v>
      </c>
      <c r="C47" s="660" t="s">
        <v>635</v>
      </c>
      <c r="D47" s="658" t="s">
        <v>634</v>
      </c>
      <c r="E47" s="658" t="s">
        <v>633</v>
      </c>
      <c r="F47" s="658" t="s">
        <v>632</v>
      </c>
      <c r="G47" s="658"/>
      <c r="H47" s="659"/>
      <c r="I47"/>
      <c r="J47"/>
      <c r="K47"/>
      <c r="L47" s="192"/>
      <c r="M47" s="192"/>
    </row>
    <row r="48" spans="1:13" s="657" customFormat="1" ht="63.75">
      <c r="A48" s="656"/>
      <c r="B48" s="658" t="s">
        <v>631</v>
      </c>
      <c r="C48" s="1191" t="s">
        <v>663</v>
      </c>
      <c r="D48" s="1192" t="s">
        <v>664</v>
      </c>
      <c r="E48" s="1192" t="s">
        <v>630</v>
      </c>
      <c r="F48" s="1192" t="s">
        <v>630</v>
      </c>
      <c r="G48" s="1192"/>
      <c r="H48" s="1204"/>
      <c r="I48"/>
      <c r="J48"/>
      <c r="K48"/>
      <c r="L48" s="192"/>
      <c r="M48" s="192"/>
    </row>
    <row r="49" spans="1:11">
      <c r="A49" s="656">
        <f>+A42+1</f>
        <v>29</v>
      </c>
      <c r="B49" s="672" t="s">
        <v>629</v>
      </c>
      <c r="C49" s="1183">
        <v>12273395.16869876</v>
      </c>
      <c r="D49" s="1183">
        <v>7042245.6314466093</v>
      </c>
      <c r="E49" s="1183"/>
      <c r="F49" s="1205"/>
      <c r="G49" s="1197"/>
      <c r="H49" s="1200"/>
      <c r="I49"/>
      <c r="J49"/>
      <c r="K49"/>
    </row>
    <row r="50" spans="1:11">
      <c r="A50" s="656">
        <f>+A49+1</f>
        <v>30</v>
      </c>
      <c r="B50" s="672" t="s">
        <v>185</v>
      </c>
      <c r="C50" s="1183">
        <v>12262501.731591376</v>
      </c>
      <c r="D50" s="1183">
        <v>7053993.6715221507</v>
      </c>
      <c r="E50" s="1183"/>
      <c r="F50" s="1197"/>
      <c r="G50" s="1197"/>
      <c r="H50" s="1198"/>
      <c r="I50"/>
      <c r="J50"/>
      <c r="K50"/>
    </row>
    <row r="51" spans="1:11">
      <c r="A51" s="656">
        <f t="shared" ref="A51:A62" si="11">+A50+1</f>
        <v>31</v>
      </c>
      <c r="B51" s="671" t="s">
        <v>559</v>
      </c>
      <c r="C51" s="1183">
        <v>12251618.020265626</v>
      </c>
      <c r="D51" s="1183">
        <v>7065731.2845206792</v>
      </c>
      <c r="E51" s="1183"/>
      <c r="F51" s="1197"/>
      <c r="G51" s="1197"/>
      <c r="H51" s="1198"/>
      <c r="I51"/>
      <c r="J51"/>
      <c r="K51"/>
    </row>
    <row r="52" spans="1:11">
      <c r="A52" s="656">
        <f t="shared" si="11"/>
        <v>32</v>
      </c>
      <c r="B52" s="671" t="s">
        <v>628</v>
      </c>
      <c r="C52" s="1183">
        <v>12240744.026038229</v>
      </c>
      <c r="D52" s="1183">
        <v>7077458.4797516046</v>
      </c>
      <c r="E52" s="1183"/>
      <c r="F52" s="1197"/>
      <c r="G52" s="1197"/>
      <c r="H52" s="1198"/>
      <c r="I52"/>
      <c r="J52"/>
      <c r="K52"/>
    </row>
    <row r="53" spans="1:11">
      <c r="A53" s="656">
        <f t="shared" si="11"/>
        <v>33</v>
      </c>
      <c r="B53" s="671" t="s">
        <v>187</v>
      </c>
      <c r="C53" s="1183">
        <v>12229879.740233649</v>
      </c>
      <c r="D53" s="1183">
        <v>7089175.266516027</v>
      </c>
      <c r="E53" s="1183"/>
      <c r="F53" s="1197"/>
      <c r="G53" s="1197"/>
      <c r="H53" s="1198"/>
      <c r="I53"/>
      <c r="J53"/>
      <c r="K53"/>
    </row>
    <row r="54" spans="1:11">
      <c r="A54" s="656">
        <f t="shared" si="11"/>
        <v>34</v>
      </c>
      <c r="B54" s="671" t="s">
        <v>188</v>
      </c>
      <c r="C54" s="1183">
        <v>12219025.154184096</v>
      </c>
      <c r="D54" s="1183">
        <v>7100881.6541067408</v>
      </c>
      <c r="E54" s="1183"/>
      <c r="F54" s="1197"/>
      <c r="G54" s="1197"/>
      <c r="H54" s="1198"/>
      <c r="I54"/>
      <c r="J54"/>
      <c r="K54"/>
    </row>
    <row r="55" spans="1:11">
      <c r="A55" s="656">
        <f t="shared" si="11"/>
        <v>35</v>
      </c>
      <c r="B55" s="671" t="s">
        <v>382</v>
      </c>
      <c r="C55" s="1183">
        <v>12208180.259229524</v>
      </c>
      <c r="D55" s="1183">
        <v>7112577.6518082405</v>
      </c>
      <c r="E55" s="1183"/>
      <c r="F55" s="1197"/>
      <c r="G55" s="1197"/>
      <c r="H55" s="1198"/>
      <c r="I55"/>
      <c r="J55"/>
      <c r="K55"/>
    </row>
    <row r="56" spans="1:11">
      <c r="A56" s="656">
        <f t="shared" si="11"/>
        <v>36</v>
      </c>
      <c r="B56" s="671" t="s">
        <v>189</v>
      </c>
      <c r="C56" s="1183">
        <v>12197345.046717614</v>
      </c>
      <c r="D56" s="1183">
        <v>7124263.2688967409</v>
      </c>
      <c r="E56" s="1183"/>
      <c r="F56" s="1197"/>
      <c r="G56" s="1197"/>
      <c r="H56" s="1198"/>
      <c r="I56"/>
      <c r="J56"/>
      <c r="K56"/>
    </row>
    <row r="57" spans="1:11">
      <c r="A57" s="656">
        <f t="shared" si="11"/>
        <v>37</v>
      </c>
      <c r="B57" s="671" t="s">
        <v>627</v>
      </c>
      <c r="C57" s="1183">
        <v>12186519.508003775</v>
      </c>
      <c r="D57" s="1183">
        <v>7135938.5146401627</v>
      </c>
      <c r="E57" s="1183"/>
      <c r="F57" s="1197"/>
      <c r="G57" s="1197"/>
      <c r="H57" s="1198"/>
      <c r="I57"/>
      <c r="J57"/>
      <c r="K57"/>
    </row>
    <row r="58" spans="1:11">
      <c r="A58" s="656">
        <f t="shared" si="11"/>
        <v>38</v>
      </c>
      <c r="B58" s="671" t="s">
        <v>192</v>
      </c>
      <c r="C58" s="1183">
        <v>12175703.634451132</v>
      </c>
      <c r="D58" s="1183">
        <v>7147603.3982981602</v>
      </c>
      <c r="E58" s="1183"/>
      <c r="F58" s="1197"/>
      <c r="G58" s="1197"/>
      <c r="H58" s="1198"/>
      <c r="I58"/>
      <c r="J58"/>
      <c r="K58"/>
    </row>
    <row r="59" spans="1:11">
      <c r="A59" s="656">
        <f t="shared" si="11"/>
        <v>39</v>
      </c>
      <c r="B59" s="671" t="s">
        <v>560</v>
      </c>
      <c r="C59" s="1183">
        <v>12164897.417430522</v>
      </c>
      <c r="D59" s="1183">
        <v>7159257.9291221183</v>
      </c>
      <c r="E59" s="1183"/>
      <c r="F59" s="1197"/>
      <c r="G59" s="1197"/>
      <c r="H59" s="1198"/>
      <c r="I59"/>
      <c r="J59"/>
      <c r="K59"/>
    </row>
    <row r="60" spans="1:11">
      <c r="A60" s="656">
        <f t="shared" si="11"/>
        <v>40</v>
      </c>
      <c r="B60" s="671" t="s">
        <v>561</v>
      </c>
      <c r="C60" s="1183">
        <v>12154100.848320486</v>
      </c>
      <c r="D60" s="1183">
        <v>7170902.1163551621</v>
      </c>
      <c r="E60" s="1183"/>
      <c r="F60" s="1197"/>
      <c r="G60" s="1197"/>
      <c r="H60" s="1198"/>
      <c r="I60"/>
      <c r="J60"/>
      <c r="K60"/>
    </row>
    <row r="61" spans="1:11">
      <c r="A61" s="655">
        <f t="shared" si="11"/>
        <v>41</v>
      </c>
      <c r="B61" s="670" t="s">
        <v>626</v>
      </c>
      <c r="C61" s="1183">
        <v>12143313.918507263</v>
      </c>
      <c r="D61" s="1183">
        <v>7182535.9692321643</v>
      </c>
      <c r="E61" s="1183"/>
      <c r="F61" s="1206"/>
      <c r="G61" s="1197"/>
      <c r="H61" s="1199"/>
      <c r="I61"/>
      <c r="J61"/>
      <c r="K61"/>
    </row>
    <row r="62" spans="1:11" ht="13.5" thickBot="1">
      <c r="A62" s="654">
        <f t="shared" si="11"/>
        <v>42</v>
      </c>
      <c r="B62" s="859" t="s">
        <v>853</v>
      </c>
      <c r="C62" s="1184">
        <f>SUM(C49:C61)/13</f>
        <v>12208248.03643631</v>
      </c>
      <c r="D62" s="1193">
        <f t="shared" ref="D62" si="12">SUM(D49:D61)/13</f>
        <v>7112504.987401275</v>
      </c>
      <c r="E62" s="1193">
        <f t="shared" ref="E62" si="13">SUM(E49:E61)/13</f>
        <v>0</v>
      </c>
      <c r="F62" s="1193">
        <f t="shared" ref="F62" si="14">SUM(F49:F61)/13</f>
        <v>0</v>
      </c>
      <c r="G62" s="1193"/>
      <c r="H62" s="1207"/>
      <c r="I62"/>
      <c r="J62"/>
      <c r="K62"/>
    </row>
    <row r="63" spans="1:11" ht="13.5" thickTop="1">
      <c r="A63" s="76"/>
      <c r="B63" s="651"/>
      <c r="F63" s="192"/>
      <c r="G63" s="192"/>
      <c r="H63" s="192"/>
      <c r="I63"/>
      <c r="J63"/>
      <c r="K63"/>
    </row>
    <row r="64" spans="1:11">
      <c r="A64" s="76">
        <v>43</v>
      </c>
      <c r="B64" s="651" t="s">
        <v>625</v>
      </c>
      <c r="D64" s="462">
        <f>+E42-D62</f>
        <v>39889831.323998496</v>
      </c>
      <c r="I64" s="650"/>
    </row>
    <row r="65" spans="1:13" customFormat="1">
      <c r="L65" s="192"/>
      <c r="M65" s="192"/>
    </row>
    <row r="66" spans="1:13" customFormat="1">
      <c r="A66" s="649"/>
      <c r="B66" s="220"/>
      <c r="C66" s="221"/>
      <c r="D66" s="222"/>
      <c r="E66" s="54"/>
      <c r="F66" s="54"/>
      <c r="G66" s="64"/>
      <c r="L66" s="192"/>
      <c r="M66" s="192"/>
    </row>
    <row r="67" spans="1:13" customFormat="1" ht="25.5">
      <c r="A67" s="682" t="s">
        <v>3</v>
      </c>
      <c r="B67" s="220"/>
      <c r="C67" s="679" t="s">
        <v>2</v>
      </c>
      <c r="D67" s="680" t="str">
        <f>"Balance @ December 31, "&amp;TCOS!L4&amp;""</f>
        <v>Balance @ December 31, 2026</v>
      </c>
      <c r="E67" s="681" t="str">
        <f>"Balance @ December 31, "&amp;TCOS!L4-1&amp;""</f>
        <v>Balance @ December 31, 2025</v>
      </c>
      <c r="F67" s="681" t="str">
        <f>"Average Balance for "&amp;TCOS!L4&amp;""</f>
        <v>Average Balance for 2026</v>
      </c>
      <c r="G67" s="64"/>
      <c r="L67" s="192"/>
      <c r="M67" s="192"/>
    </row>
    <row r="68" spans="1:13" customFormat="1">
      <c r="A68" s="69"/>
      <c r="B68" s="658" t="s">
        <v>636</v>
      </c>
      <c r="C68" s="658" t="s">
        <v>635</v>
      </c>
      <c r="D68" s="658" t="s">
        <v>634</v>
      </c>
      <c r="E68" s="658" t="s">
        <v>633</v>
      </c>
      <c r="F68" s="658" t="s">
        <v>632</v>
      </c>
      <c r="G68" s="64"/>
      <c r="L68" s="192"/>
      <c r="M68" s="192"/>
    </row>
    <row r="69" spans="1:13" customFormat="1">
      <c r="A69" s="220">
        <f>+A64+1</f>
        <v>44</v>
      </c>
      <c r="B69" s="69" t="s">
        <v>3</v>
      </c>
      <c r="C69" s="223" t="s">
        <v>374</v>
      </c>
      <c r="D69" s="601">
        <v>0</v>
      </c>
      <c r="E69" s="601">
        <v>0</v>
      </c>
      <c r="F69" s="106">
        <f>IF(E69="",0,AVERAGE(D69:E69))</f>
        <v>0</v>
      </c>
      <c r="L69" s="192"/>
      <c r="M69" s="192"/>
    </row>
    <row r="70" spans="1:13" customFormat="1">
      <c r="A70" s="219"/>
      <c r="B70" s="224"/>
      <c r="C70" s="224"/>
      <c r="F70" s="64"/>
      <c r="L70" s="192"/>
      <c r="M70" s="192"/>
    </row>
    <row r="71" spans="1:13" customFormat="1">
      <c r="A71" s="218">
        <f>+A69+1</f>
        <v>45</v>
      </c>
      <c r="B71" s="69" t="s">
        <v>816</v>
      </c>
      <c r="C71" s="234" t="s">
        <v>67</v>
      </c>
      <c r="D71" s="601">
        <v>0</v>
      </c>
      <c r="E71" s="601">
        <v>0</v>
      </c>
      <c r="F71" s="106">
        <f>IF(E71="",0,AVERAGE(D71:E71))</f>
        <v>0</v>
      </c>
      <c r="L71" s="192"/>
      <c r="M71" s="192"/>
    </row>
    <row r="72" spans="1:13" customFormat="1">
      <c r="A72" s="67"/>
      <c r="B72" s="67"/>
      <c r="C72" s="67"/>
      <c r="D72" s="67"/>
      <c r="L72" s="192"/>
      <c r="M72" s="192"/>
    </row>
    <row r="73" spans="1:13" customFormat="1">
      <c r="A73" s="69" t="s">
        <v>236</v>
      </c>
      <c r="B73" s="67"/>
      <c r="C73" s="67"/>
      <c r="D73" s="67"/>
      <c r="L73" s="192"/>
      <c r="M73" s="192"/>
    </row>
    <row r="74" spans="1:13" customFormat="1">
      <c r="A74" s="222"/>
      <c r="B74" s="222" t="s">
        <v>360</v>
      </c>
      <c r="C74" s="222"/>
      <c r="D74" s="52"/>
      <c r="E74" s="52"/>
      <c r="F74" s="52"/>
      <c r="L74" s="192"/>
      <c r="M74" s="192"/>
    </row>
    <row r="75" spans="1:13" customFormat="1">
      <c r="A75" s="220">
        <f>+A71+1</f>
        <v>46</v>
      </c>
      <c r="B75" s="602"/>
      <c r="C75" s="602"/>
      <c r="D75" s="601"/>
      <c r="E75" s="601"/>
      <c r="F75" s="106">
        <f>IF(E75="",0,AVERAGE(D75:E75))</f>
        <v>0</v>
      </c>
      <c r="L75" s="192"/>
      <c r="M75" s="192"/>
    </row>
    <row r="76" spans="1:13" customFormat="1">
      <c r="A76" s="220">
        <f>+A75+1</f>
        <v>47</v>
      </c>
      <c r="B76" s="602"/>
      <c r="C76" s="602"/>
      <c r="D76" s="601"/>
      <c r="E76" s="601"/>
      <c r="F76" s="106">
        <f>IF(E76="",0,AVERAGE(D76:E76))</f>
        <v>0</v>
      </c>
      <c r="L76" s="192"/>
      <c r="M76" s="192"/>
    </row>
    <row r="77" spans="1:13" customFormat="1">
      <c r="A77" s="220">
        <f>+A76+1</f>
        <v>48</v>
      </c>
      <c r="B77" s="602"/>
      <c r="C77" s="602"/>
      <c r="D77" s="601"/>
      <c r="E77" s="601"/>
      <c r="F77" s="106">
        <f>IF(E77="",0,AVERAGE(D77:E77))</f>
        <v>0</v>
      </c>
      <c r="L77" s="192"/>
      <c r="M77" s="192"/>
    </row>
    <row r="78" spans="1:13" customFormat="1">
      <c r="A78" s="220">
        <f>+A77+1</f>
        <v>49</v>
      </c>
      <c r="B78" s="602"/>
      <c r="C78" s="602"/>
      <c r="D78" s="601"/>
      <c r="E78" s="601"/>
      <c r="F78" s="106">
        <f>IF(E78="",0,AVERAGE(D78:E78))</f>
        <v>0</v>
      </c>
      <c r="L78" s="192"/>
      <c r="M78" s="192"/>
    </row>
    <row r="79" spans="1:13" customFormat="1">
      <c r="A79" s="220">
        <f>+A78+1</f>
        <v>50</v>
      </c>
      <c r="B79" s="602"/>
      <c r="C79" s="602"/>
      <c r="D79" s="603"/>
      <c r="E79" s="603"/>
      <c r="F79" s="683">
        <f>IF(E79="",0,AVERAGE(D79:E79))</f>
        <v>0</v>
      </c>
      <c r="L79" s="192"/>
      <c r="M79" s="192"/>
    </row>
    <row r="80" spans="1:13" customFormat="1">
      <c r="A80" s="220">
        <f>+A79+1</f>
        <v>51</v>
      </c>
      <c r="B80" s="222" t="s">
        <v>497</v>
      </c>
      <c r="C80" s="222"/>
      <c r="D80" s="138">
        <f>SUM(D75:D79)</f>
        <v>0</v>
      </c>
      <c r="E80" s="138">
        <f>SUM(E75:E79)</f>
        <v>0</v>
      </c>
      <c r="F80" s="138">
        <f>SUM(F75:F79)</f>
        <v>0</v>
      </c>
      <c r="L80" s="192"/>
      <c r="M80" s="192"/>
    </row>
    <row r="81" spans="1:13" customFormat="1">
      <c r="A81" s="220"/>
      <c r="B81" s="222"/>
      <c r="C81" s="222"/>
      <c r="D81" s="138"/>
      <c r="E81" s="138"/>
      <c r="F81" s="138"/>
      <c r="L81" s="192"/>
      <c r="M81" s="192"/>
    </row>
    <row r="82" spans="1:13" customFormat="1" ht="18">
      <c r="A82" s="69" t="s">
        <v>748</v>
      </c>
      <c r="B82" s="646"/>
      <c r="C82" s="646"/>
      <c r="D82" s="646"/>
      <c r="E82" s="52"/>
      <c r="F82" s="52"/>
      <c r="G82" s="52"/>
      <c r="L82" s="192"/>
      <c r="M82" s="192"/>
    </row>
    <row r="83" spans="1:13" customFormat="1">
      <c r="A83" s="53"/>
      <c r="B83" s="186"/>
      <c r="C83" s="189"/>
      <c r="D83" s="4"/>
      <c r="E83" s="52"/>
      <c r="F83" s="52"/>
      <c r="G83" s="52"/>
      <c r="L83" s="192"/>
      <c r="M83" s="192"/>
    </row>
    <row r="84" spans="1:13" customFormat="1">
      <c r="A84" s="53">
        <f>+A80+1</f>
        <v>52</v>
      </c>
      <c r="B84" s="8" t="s">
        <v>167</v>
      </c>
      <c r="C84" s="8" t="s">
        <v>306</v>
      </c>
      <c r="D84" s="3"/>
      <c r="F84" s="8"/>
      <c r="L84" s="192"/>
      <c r="M84" s="192"/>
    </row>
    <row r="85" spans="1:13" customFormat="1" ht="14.25">
      <c r="A85" s="76" t="s">
        <v>741</v>
      </c>
      <c r="B85" s="1062" t="s">
        <v>1027</v>
      </c>
      <c r="C85" s="1053" t="s">
        <v>1028</v>
      </c>
      <c r="D85" s="601">
        <v>430971.27999999997</v>
      </c>
      <c r="E85" s="601">
        <v>430971.27999999997</v>
      </c>
      <c r="F85" s="684">
        <f>IF(E85="",0,AVERAGE(D85:E85))</f>
        <v>430971.27999999997</v>
      </c>
      <c r="L85" s="192"/>
      <c r="M85" s="192"/>
    </row>
    <row r="86" spans="1:13" customFormat="1" ht="14.25">
      <c r="A86" s="76" t="s">
        <v>742</v>
      </c>
      <c r="B86" s="902"/>
      <c r="C86" s="1053"/>
      <c r="D86" s="601"/>
      <c r="E86" s="601"/>
      <c r="F86" s="684">
        <f>IF(E86="",0,AVERAGE(D86:E86))</f>
        <v>0</v>
      </c>
      <c r="L86" s="192"/>
      <c r="M86" s="192"/>
    </row>
    <row r="87" spans="1:13" customFormat="1" ht="14.25">
      <c r="A87" s="76" t="s">
        <v>1015</v>
      </c>
      <c r="B87" s="902"/>
      <c r="C87" s="806"/>
      <c r="D87" s="601"/>
      <c r="E87" s="601"/>
      <c r="F87" s="685">
        <f>IF(E87="",0,AVERAGE(D87:E87))</f>
        <v>0</v>
      </c>
      <c r="L87" s="192"/>
      <c r="M87" s="192"/>
    </row>
    <row r="88" spans="1:13" customFormat="1" ht="18" customHeight="1">
      <c r="A88" s="1">
        <v>54</v>
      </c>
      <c r="C88" s="3" t="s">
        <v>118</v>
      </c>
      <c r="D88" s="462">
        <f>SUM(D85:D87)</f>
        <v>430971.27999999997</v>
      </c>
      <c r="E88" s="462">
        <f>SUM(E85:E87)</f>
        <v>430971.27999999997</v>
      </c>
      <c r="F88" s="462">
        <f>SUM(F85:F87)</f>
        <v>430971.27999999997</v>
      </c>
      <c r="L88" s="192"/>
      <c r="M88" s="192"/>
    </row>
    <row r="89" spans="1:13" customFormat="1">
      <c r="A89" s="220"/>
      <c r="B89" s="222"/>
      <c r="C89" s="222"/>
      <c r="D89" s="222"/>
      <c r="L89" s="192"/>
      <c r="M89" s="192"/>
    </row>
    <row r="90" spans="1:13">
      <c r="A90" s="54" t="s">
        <v>667</v>
      </c>
      <c r="B90" s="222"/>
      <c r="C90" s="222"/>
      <c r="D90" s="222"/>
    </row>
    <row r="91" spans="1:13">
      <c r="A91" s="54" t="s">
        <v>666</v>
      </c>
      <c r="B91" s="222"/>
      <c r="C91" s="222"/>
      <c r="D91" s="222"/>
    </row>
    <row r="92" spans="1:13">
      <c r="A92"/>
      <c r="B92"/>
      <c r="C92"/>
      <c r="D92"/>
    </row>
    <row r="93" spans="1:13">
      <c r="A93"/>
      <c r="B93"/>
      <c r="C93"/>
      <c r="D93"/>
    </row>
  </sheetData>
  <mergeCells count="6">
    <mergeCell ref="C25:M25"/>
    <mergeCell ref="A1:G1"/>
    <mergeCell ref="A2:G2"/>
    <mergeCell ref="A3:G3"/>
    <mergeCell ref="A4:G4"/>
    <mergeCell ref="C6:M6"/>
  </mergeCells>
  <pageMargins left="0.7" right="0.7" top="0.75" bottom="0.75" header="0.3" footer="0.3"/>
  <pageSetup scale="47"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164"/>
  <sheetViews>
    <sheetView view="pageBreakPreview" topLeftCell="A19" zoomScale="85" zoomScaleNormal="90" zoomScaleSheetLayoutView="85" zoomScalePageLayoutView="85" workbookViewId="0">
      <selection activeCell="E49" sqref="E49"/>
    </sheetView>
  </sheetViews>
  <sheetFormatPr defaultColWidth="11.42578125" defaultRowHeight="12.75"/>
  <cols>
    <col min="1" max="1" width="10.28515625" style="706" customWidth="1"/>
    <col min="2" max="2" width="52.28515625" style="686" customWidth="1"/>
    <col min="3" max="7" width="20.28515625" style="686" customWidth="1"/>
    <col min="8" max="8" width="23" style="686" customWidth="1"/>
    <col min="9" max="11" width="20.28515625" style="686" customWidth="1"/>
    <col min="12" max="12" width="20" style="686" customWidth="1"/>
    <col min="13" max="14" width="15.140625" style="686" customWidth="1"/>
    <col min="15" max="16384" width="11.42578125" style="686"/>
  </cols>
  <sheetData>
    <row r="1" spans="1:12" ht="15">
      <c r="A1" s="1251" t="s">
        <v>387</v>
      </c>
      <c r="B1" s="1251"/>
      <c r="C1" s="1251"/>
      <c r="D1" s="1251"/>
      <c r="E1" s="1251"/>
      <c r="F1" s="1251"/>
      <c r="G1" s="1251"/>
      <c r="H1" s="76"/>
    </row>
    <row r="2" spans="1:12" ht="15">
      <c r="A2" s="1252" t="str">
        <f>"Cost of Service Formula Rate Using Actual/Projected FF1 Balances"</f>
        <v>Cost of Service Formula Rate Using Actual/Projected FF1 Balances</v>
      </c>
      <c r="B2" s="1252"/>
      <c r="C2" s="1252"/>
      <c r="D2" s="1252"/>
      <c r="E2" s="1252"/>
      <c r="F2" s="1252"/>
      <c r="G2" s="1252"/>
      <c r="H2" s="687"/>
      <c r="I2" s="687"/>
      <c r="J2" s="687"/>
      <c r="L2" s="688"/>
    </row>
    <row r="3" spans="1:12" ht="15">
      <c r="A3" s="1252" t="s">
        <v>668</v>
      </c>
      <c r="B3" s="1252"/>
      <c r="C3" s="1252"/>
      <c r="D3" s="1252"/>
      <c r="E3" s="1252"/>
      <c r="F3" s="1252"/>
      <c r="G3" s="1252"/>
      <c r="H3" s="687"/>
      <c r="I3" s="687"/>
      <c r="J3" s="687"/>
    </row>
    <row r="4" spans="1:12" ht="15">
      <c r="A4" s="1253" t="str">
        <f>TCOS!F9</f>
        <v>WHEELING POWER COMPANY</v>
      </c>
      <c r="B4" s="1253"/>
      <c r="C4" s="1253"/>
      <c r="D4" s="1253"/>
      <c r="E4" s="1253"/>
      <c r="F4" s="1253"/>
      <c r="G4" s="1253"/>
      <c r="H4" s="687"/>
      <c r="I4" s="687"/>
      <c r="J4" s="687"/>
    </row>
    <row r="5" spans="1:12">
      <c r="A5" s="687"/>
      <c r="B5" s="689"/>
      <c r="C5" s="689"/>
      <c r="D5" s="689"/>
      <c r="E5" s="690"/>
      <c r="F5" s="691"/>
      <c r="H5"/>
      <c r="I5"/>
      <c r="J5"/>
      <c r="K5"/>
      <c r="L5"/>
    </row>
    <row r="6" spans="1:12" ht="12.75" customHeight="1">
      <c r="A6" s="76"/>
      <c r="B6" s="676"/>
      <c r="C6" s="1308" t="s">
        <v>6</v>
      </c>
      <c r="D6" s="1309"/>
      <c r="E6" s="1309"/>
      <c r="F6" s="1309"/>
      <c r="G6" s="1310"/>
      <c r="H6" s="3"/>
      <c r="I6"/>
      <c r="J6"/>
      <c r="K6"/>
      <c r="L6"/>
    </row>
    <row r="7" spans="1:12" s="693" customFormat="1" ht="38.25">
      <c r="A7" s="675" t="s">
        <v>642</v>
      </c>
      <c r="B7" s="674" t="s">
        <v>641</v>
      </c>
      <c r="C7" s="663" t="s">
        <v>669</v>
      </c>
      <c r="D7" s="662" t="s">
        <v>368</v>
      </c>
      <c r="E7" s="662" t="s">
        <v>670</v>
      </c>
      <c r="F7" s="662" t="s">
        <v>671</v>
      </c>
      <c r="G7" s="692" t="s">
        <v>6</v>
      </c>
      <c r="H7" s="3"/>
      <c r="I7"/>
      <c r="J7"/>
      <c r="K7"/>
      <c r="L7"/>
    </row>
    <row r="8" spans="1:12" s="695" customFormat="1">
      <c r="A8" s="656"/>
      <c r="B8" s="659" t="s">
        <v>636</v>
      </c>
      <c r="C8" s="660" t="s">
        <v>635</v>
      </c>
      <c r="D8" s="658" t="s">
        <v>634</v>
      </c>
      <c r="E8" s="658" t="s">
        <v>633</v>
      </c>
      <c r="F8" s="658" t="s">
        <v>632</v>
      </c>
      <c r="G8" s="694" t="s">
        <v>672</v>
      </c>
      <c r="H8" s="3"/>
      <c r="I8"/>
      <c r="J8"/>
      <c r="K8"/>
      <c r="L8"/>
    </row>
    <row r="9" spans="1:12" s="695" customFormat="1" ht="44.25" customHeight="1">
      <c r="A9" s="656"/>
      <c r="B9" s="659" t="s">
        <v>631</v>
      </c>
      <c r="C9" s="696" t="s">
        <v>673</v>
      </c>
      <c r="D9" s="673" t="s">
        <v>674</v>
      </c>
      <c r="E9" s="673" t="s">
        <v>675</v>
      </c>
      <c r="F9" s="673" t="s">
        <v>676</v>
      </c>
      <c r="G9" s="697"/>
      <c r="H9" s="3"/>
      <c r="I9"/>
      <c r="J9"/>
      <c r="K9"/>
      <c r="L9"/>
    </row>
    <row r="10" spans="1:12">
      <c r="A10" s="656">
        <v>1</v>
      </c>
      <c r="B10" s="672" t="s">
        <v>629</v>
      </c>
      <c r="C10" s="698">
        <v>594210638.66882741</v>
      </c>
      <c r="D10" s="698"/>
      <c r="E10" s="698"/>
      <c r="F10" s="698">
        <v>-1469237.2599999998</v>
      </c>
      <c r="G10" s="699">
        <f t="shared" ref="G10:G22" si="0">+C10-D10-E10-F10</f>
        <v>595679875.9288274</v>
      </c>
      <c r="H10" s="3"/>
      <c r="I10"/>
      <c r="J10"/>
      <c r="K10"/>
      <c r="L10"/>
    </row>
    <row r="11" spans="1:12">
      <c r="A11" s="656">
        <f t="shared" ref="A11:A23" si="1">+A10+1</f>
        <v>2</v>
      </c>
      <c r="B11" s="672" t="s">
        <v>185</v>
      </c>
      <c r="C11" s="698">
        <v>597708736.42192626</v>
      </c>
      <c r="D11" s="901"/>
      <c r="E11" s="901"/>
      <c r="F11" s="698">
        <v>-1469237.2599999998</v>
      </c>
      <c r="G11" s="699">
        <f t="shared" si="0"/>
        <v>599177973.68192625</v>
      </c>
      <c r="H11" s="3"/>
      <c r="I11"/>
      <c r="J11"/>
      <c r="K11"/>
      <c r="L11"/>
    </row>
    <row r="12" spans="1:12">
      <c r="A12" s="656">
        <f t="shared" si="1"/>
        <v>3</v>
      </c>
      <c r="B12" s="671" t="s">
        <v>559</v>
      </c>
      <c r="C12" s="698">
        <v>601258354.44794965</v>
      </c>
      <c r="D12" s="901"/>
      <c r="E12" s="901"/>
      <c r="F12" s="698">
        <v>-1469237.2599999998</v>
      </c>
      <c r="G12" s="699">
        <f t="shared" si="0"/>
        <v>602727591.70794964</v>
      </c>
      <c r="H12" s="3"/>
      <c r="I12"/>
      <c r="J12"/>
      <c r="K12"/>
      <c r="L12"/>
    </row>
    <row r="13" spans="1:12">
      <c r="A13" s="656">
        <f t="shared" si="1"/>
        <v>4</v>
      </c>
      <c r="B13" s="671" t="s">
        <v>628</v>
      </c>
      <c r="C13" s="698">
        <v>604085241.48351705</v>
      </c>
      <c r="D13" s="901"/>
      <c r="E13" s="901"/>
      <c r="F13" s="698">
        <v>-1469237.2599999998</v>
      </c>
      <c r="G13" s="699">
        <f t="shared" si="0"/>
        <v>605554478.74351704</v>
      </c>
      <c r="H13" s="3"/>
      <c r="I13"/>
      <c r="J13"/>
      <c r="K13"/>
      <c r="L13"/>
    </row>
    <row r="14" spans="1:12">
      <c r="A14" s="656">
        <f t="shared" si="1"/>
        <v>5</v>
      </c>
      <c r="B14" s="671" t="s">
        <v>187</v>
      </c>
      <c r="C14" s="698">
        <v>282823413.32612085</v>
      </c>
      <c r="D14" s="901"/>
      <c r="E14" s="901"/>
      <c r="F14" s="698">
        <v>-1469237.2599999998</v>
      </c>
      <c r="G14" s="699">
        <f t="shared" si="0"/>
        <v>284292650.58612084</v>
      </c>
      <c r="H14" s="3"/>
      <c r="I14"/>
      <c r="J14"/>
      <c r="K14"/>
      <c r="L14"/>
    </row>
    <row r="15" spans="1:12">
      <c r="A15" s="656">
        <f t="shared" si="1"/>
        <v>6</v>
      </c>
      <c r="B15" s="671" t="s">
        <v>188</v>
      </c>
      <c r="C15" s="698">
        <v>286093034.77694726</v>
      </c>
      <c r="D15" s="901"/>
      <c r="E15" s="901"/>
      <c r="F15" s="698">
        <v>-1469237.2599999998</v>
      </c>
      <c r="G15" s="699">
        <f t="shared" si="0"/>
        <v>287562272.03694725</v>
      </c>
      <c r="H15" s="3"/>
      <c r="I15"/>
      <c r="J15"/>
      <c r="K15"/>
      <c r="L15"/>
    </row>
    <row r="16" spans="1:12">
      <c r="A16" s="656">
        <f t="shared" si="1"/>
        <v>7</v>
      </c>
      <c r="B16" s="671" t="s">
        <v>382</v>
      </c>
      <c r="C16" s="698">
        <v>291279291.48726809</v>
      </c>
      <c r="D16" s="901"/>
      <c r="E16" s="901"/>
      <c r="F16" s="698">
        <v>-1469237.2599999998</v>
      </c>
      <c r="G16" s="699">
        <f t="shared" si="0"/>
        <v>292748528.74726808</v>
      </c>
      <c r="H16" s="3"/>
      <c r="I16"/>
      <c r="J16"/>
      <c r="K16"/>
      <c r="L16"/>
    </row>
    <row r="17" spans="1:12">
      <c r="A17" s="656">
        <f t="shared" si="1"/>
        <v>8</v>
      </c>
      <c r="B17" s="671" t="s">
        <v>189</v>
      </c>
      <c r="C17" s="698">
        <v>296803353.67342508</v>
      </c>
      <c r="D17" s="901"/>
      <c r="E17" s="901"/>
      <c r="F17" s="698">
        <v>-1469237.2599999998</v>
      </c>
      <c r="G17" s="699">
        <f t="shared" si="0"/>
        <v>298272590.93342507</v>
      </c>
      <c r="H17" s="3"/>
      <c r="I17"/>
      <c r="J17"/>
      <c r="K17"/>
      <c r="L17"/>
    </row>
    <row r="18" spans="1:12">
      <c r="A18" s="656">
        <f t="shared" si="1"/>
        <v>9</v>
      </c>
      <c r="B18" s="671" t="s">
        <v>627</v>
      </c>
      <c r="C18" s="698">
        <v>302202560.9812687</v>
      </c>
      <c r="D18" s="901"/>
      <c r="E18" s="901"/>
      <c r="F18" s="698">
        <v>-1469237.2599999998</v>
      </c>
      <c r="G18" s="699">
        <f t="shared" si="0"/>
        <v>303671798.24126869</v>
      </c>
      <c r="H18" s="3"/>
      <c r="I18"/>
      <c r="J18"/>
      <c r="K18"/>
      <c r="L18"/>
    </row>
    <row r="19" spans="1:12">
      <c r="A19" s="656">
        <f t="shared" si="1"/>
        <v>10</v>
      </c>
      <c r="B19" s="671" t="s">
        <v>192</v>
      </c>
      <c r="C19" s="698">
        <v>306203320.04384315</v>
      </c>
      <c r="D19" s="901"/>
      <c r="E19" s="901"/>
      <c r="F19" s="698">
        <v>-1469237.2599999998</v>
      </c>
      <c r="G19" s="699">
        <f t="shared" si="0"/>
        <v>307672557.30384314</v>
      </c>
      <c r="H19" s="3"/>
      <c r="I19"/>
      <c r="J19"/>
      <c r="K19"/>
      <c r="L19"/>
    </row>
    <row r="20" spans="1:12">
      <c r="A20" s="656">
        <f t="shared" si="1"/>
        <v>11</v>
      </c>
      <c r="B20" s="671" t="s">
        <v>560</v>
      </c>
      <c r="C20" s="698">
        <v>309966486.19150293</v>
      </c>
      <c r="D20" s="901"/>
      <c r="E20" s="901"/>
      <c r="F20" s="698">
        <v>-1469237.2599999998</v>
      </c>
      <c r="G20" s="699">
        <f t="shared" si="0"/>
        <v>311435723.45150292</v>
      </c>
      <c r="H20" s="3"/>
      <c r="I20"/>
      <c r="J20"/>
      <c r="K20"/>
      <c r="L20"/>
    </row>
    <row r="21" spans="1:12">
      <c r="A21" s="656">
        <f t="shared" si="1"/>
        <v>12</v>
      </c>
      <c r="B21" s="671" t="s">
        <v>561</v>
      </c>
      <c r="C21" s="698">
        <v>313697933.46041083</v>
      </c>
      <c r="D21" s="901"/>
      <c r="E21" s="901"/>
      <c r="F21" s="698">
        <v>-1469237.2599999998</v>
      </c>
      <c r="G21" s="699">
        <f t="shared" si="0"/>
        <v>315167170.72041082</v>
      </c>
      <c r="H21" s="3"/>
      <c r="I21"/>
      <c r="J21"/>
      <c r="K21"/>
      <c r="L21"/>
    </row>
    <row r="22" spans="1:12">
      <c r="A22" s="655">
        <f t="shared" si="1"/>
        <v>13</v>
      </c>
      <c r="B22" s="670" t="s">
        <v>626</v>
      </c>
      <c r="C22" s="698">
        <v>327011961.79405743</v>
      </c>
      <c r="D22" s="698"/>
      <c r="E22" s="698"/>
      <c r="F22" s="698">
        <v>-1469237.2599999998</v>
      </c>
      <c r="G22" s="699">
        <f t="shared" si="0"/>
        <v>328481199.05405742</v>
      </c>
      <c r="H22" s="3"/>
      <c r="I22"/>
      <c r="J22"/>
      <c r="K22"/>
      <c r="L22"/>
    </row>
    <row r="23" spans="1:12" ht="13.5" thickBot="1">
      <c r="A23" s="669">
        <f t="shared" si="1"/>
        <v>14</v>
      </c>
      <c r="B23" s="668" t="s">
        <v>854</v>
      </c>
      <c r="C23" s="653">
        <f>SUM(C10:C22)/13</f>
        <v>393334178.98131269</v>
      </c>
      <c r="D23" s="652">
        <f t="shared" ref="D23:G23" si="2">SUM(D10:D22)/13</f>
        <v>0</v>
      </c>
      <c r="E23" s="652">
        <f t="shared" si="2"/>
        <v>0</v>
      </c>
      <c r="F23" s="652">
        <f t="shared" si="2"/>
        <v>-1469237.2599999995</v>
      </c>
      <c r="G23" s="700">
        <f t="shared" si="2"/>
        <v>394803416.24131268</v>
      </c>
      <c r="H23" s="1061"/>
      <c r="I23"/>
      <c r="J23"/>
      <c r="K23"/>
      <c r="L23"/>
    </row>
    <row r="24" spans="1:12" ht="13.5" thickTop="1">
      <c r="A24" s="76"/>
      <c r="B24" s="651"/>
      <c r="C24" s="667"/>
      <c r="D24" s="650"/>
      <c r="E24" s="650"/>
      <c r="F24" s="650"/>
      <c r="G24" s="667"/>
      <c r="H24" s="667"/>
      <c r="I24"/>
      <c r="J24"/>
      <c r="K24"/>
      <c r="L24"/>
    </row>
    <row r="25" spans="1:12" ht="12.75" customHeight="1">
      <c r="A25" s="76"/>
      <c r="B25" s="676"/>
      <c r="C25" s="1311" t="s">
        <v>677</v>
      </c>
      <c r="D25" s="1312"/>
      <c r="E25" s="1312"/>
      <c r="F25" s="1312"/>
      <c r="G25" s="1312"/>
      <c r="H25" s="1313"/>
      <c r="I25"/>
      <c r="J25"/>
      <c r="K25"/>
      <c r="L25"/>
    </row>
    <row r="26" spans="1:12" s="693" customFormat="1" ht="38.25">
      <c r="A26" s="675" t="s">
        <v>642</v>
      </c>
      <c r="B26" s="674" t="s">
        <v>641</v>
      </c>
      <c r="C26" s="663" t="s">
        <v>689</v>
      </c>
      <c r="D26" s="662" t="s">
        <v>688</v>
      </c>
      <c r="E26" s="662" t="s">
        <v>687</v>
      </c>
      <c r="F26" s="662" t="s">
        <v>686</v>
      </c>
      <c r="G26" s="662" t="s">
        <v>678</v>
      </c>
      <c r="H26" s="692" t="s">
        <v>622</v>
      </c>
      <c r="I26"/>
      <c r="J26"/>
      <c r="K26"/>
      <c r="L26"/>
    </row>
    <row r="27" spans="1:12" s="695" customFormat="1">
      <c r="A27" s="656"/>
      <c r="B27" s="659" t="s">
        <v>636</v>
      </c>
      <c r="C27" s="660" t="s">
        <v>635</v>
      </c>
      <c r="D27" s="658" t="s">
        <v>634</v>
      </c>
      <c r="E27" s="658" t="s">
        <v>633</v>
      </c>
      <c r="F27" s="658" t="s">
        <v>632</v>
      </c>
      <c r="G27" s="658" t="s">
        <v>654</v>
      </c>
      <c r="H27" s="694" t="s">
        <v>679</v>
      </c>
      <c r="I27"/>
      <c r="J27"/>
      <c r="K27"/>
      <c r="L27"/>
    </row>
    <row r="28" spans="1:12" s="695" customFormat="1" ht="44.25" customHeight="1">
      <c r="A28" s="656"/>
      <c r="B28" s="659" t="s">
        <v>631</v>
      </c>
      <c r="C28" s="696" t="s">
        <v>680</v>
      </c>
      <c r="D28" s="673" t="s">
        <v>681</v>
      </c>
      <c r="E28" s="673" t="s">
        <v>682</v>
      </c>
      <c r="F28" s="673" t="s">
        <v>683</v>
      </c>
      <c r="G28" s="673" t="s">
        <v>684</v>
      </c>
      <c r="H28" s="701"/>
      <c r="I28"/>
      <c r="J28"/>
      <c r="K28"/>
      <c r="L28"/>
    </row>
    <row r="29" spans="1:12">
      <c r="A29" s="656">
        <f>+A23+1</f>
        <v>15</v>
      </c>
      <c r="B29" s="672" t="s">
        <v>629</v>
      </c>
      <c r="C29" s="698"/>
      <c r="D29" s="698">
        <v>0</v>
      </c>
      <c r="E29" s="698">
        <v>0</v>
      </c>
      <c r="F29" s="698">
        <v>675000000</v>
      </c>
      <c r="G29" s="698"/>
      <c r="H29" s="699">
        <f t="shared" ref="H29:H41" si="3">+C29-D29+E29+F29-G29</f>
        <v>675000000</v>
      </c>
      <c r="I29"/>
      <c r="J29"/>
      <c r="K29"/>
      <c r="L29"/>
    </row>
    <row r="30" spans="1:12">
      <c r="A30" s="656">
        <f t="shared" ref="A30:A42" si="4">+A29+1</f>
        <v>16</v>
      </c>
      <c r="B30" s="672" t="s">
        <v>185</v>
      </c>
      <c r="C30" s="901"/>
      <c r="D30" s="698">
        <v>0</v>
      </c>
      <c r="E30" s="698">
        <v>0</v>
      </c>
      <c r="F30" s="698">
        <v>675000000</v>
      </c>
      <c r="G30" s="901"/>
      <c r="H30" s="699">
        <f t="shared" si="3"/>
        <v>675000000</v>
      </c>
      <c r="I30"/>
      <c r="J30"/>
      <c r="K30"/>
      <c r="L30"/>
    </row>
    <row r="31" spans="1:12">
      <c r="A31" s="656">
        <f t="shared" si="4"/>
        <v>17</v>
      </c>
      <c r="B31" s="671" t="s">
        <v>559</v>
      </c>
      <c r="C31" s="901"/>
      <c r="D31" s="698">
        <v>0</v>
      </c>
      <c r="E31" s="698">
        <v>0</v>
      </c>
      <c r="F31" s="698">
        <v>675000000</v>
      </c>
      <c r="G31" s="901"/>
      <c r="H31" s="699">
        <f t="shared" si="3"/>
        <v>675000000</v>
      </c>
      <c r="I31"/>
      <c r="J31"/>
      <c r="K31"/>
      <c r="L31"/>
    </row>
    <row r="32" spans="1:12">
      <c r="A32" s="656">
        <f t="shared" si="4"/>
        <v>18</v>
      </c>
      <c r="B32" s="671" t="s">
        <v>628</v>
      </c>
      <c r="C32" s="901"/>
      <c r="D32" s="698">
        <v>0</v>
      </c>
      <c r="E32" s="698">
        <v>0</v>
      </c>
      <c r="F32" s="698">
        <v>675000000</v>
      </c>
      <c r="G32" s="901"/>
      <c r="H32" s="699">
        <f t="shared" si="3"/>
        <v>675000000</v>
      </c>
      <c r="I32"/>
      <c r="J32"/>
      <c r="K32"/>
      <c r="L32"/>
    </row>
    <row r="33" spans="1:12">
      <c r="A33" s="656">
        <f t="shared" si="4"/>
        <v>19</v>
      </c>
      <c r="B33" s="671" t="s">
        <v>187</v>
      </c>
      <c r="C33" s="901"/>
      <c r="D33" s="698">
        <v>0</v>
      </c>
      <c r="E33" s="698">
        <v>0</v>
      </c>
      <c r="F33" s="698">
        <v>250000000</v>
      </c>
      <c r="G33" s="901"/>
      <c r="H33" s="699">
        <f t="shared" si="3"/>
        <v>250000000</v>
      </c>
      <c r="I33"/>
      <c r="J33"/>
      <c r="K33"/>
      <c r="L33"/>
    </row>
    <row r="34" spans="1:12">
      <c r="A34" s="656">
        <f t="shared" si="4"/>
        <v>20</v>
      </c>
      <c r="B34" s="671" t="s">
        <v>188</v>
      </c>
      <c r="C34" s="901"/>
      <c r="D34" s="698">
        <v>0</v>
      </c>
      <c r="E34" s="698">
        <v>0</v>
      </c>
      <c r="F34" s="698">
        <v>250000000</v>
      </c>
      <c r="G34" s="901"/>
      <c r="H34" s="699">
        <f t="shared" si="3"/>
        <v>250000000</v>
      </c>
      <c r="I34"/>
      <c r="J34"/>
      <c r="K34"/>
      <c r="L34"/>
    </row>
    <row r="35" spans="1:12">
      <c r="A35" s="656">
        <f t="shared" si="4"/>
        <v>21</v>
      </c>
      <c r="B35" s="671" t="s">
        <v>382</v>
      </c>
      <c r="C35" s="901"/>
      <c r="D35" s="698">
        <v>0</v>
      </c>
      <c r="E35" s="698">
        <v>0</v>
      </c>
      <c r="F35" s="698">
        <v>250000000</v>
      </c>
      <c r="G35" s="901"/>
      <c r="H35" s="699">
        <f t="shared" si="3"/>
        <v>250000000</v>
      </c>
      <c r="I35"/>
      <c r="J35"/>
      <c r="K35"/>
      <c r="L35"/>
    </row>
    <row r="36" spans="1:12">
      <c r="A36" s="656">
        <f t="shared" si="4"/>
        <v>22</v>
      </c>
      <c r="B36" s="671" t="s">
        <v>189</v>
      </c>
      <c r="C36" s="901"/>
      <c r="D36" s="698">
        <v>0</v>
      </c>
      <c r="E36" s="698">
        <v>0</v>
      </c>
      <c r="F36" s="698">
        <v>250000000</v>
      </c>
      <c r="G36" s="901"/>
      <c r="H36" s="699">
        <f t="shared" si="3"/>
        <v>250000000</v>
      </c>
      <c r="I36"/>
      <c r="J36"/>
      <c r="K36"/>
      <c r="L36"/>
    </row>
    <row r="37" spans="1:12">
      <c r="A37" s="656">
        <f t="shared" si="4"/>
        <v>23</v>
      </c>
      <c r="B37" s="671" t="s">
        <v>627</v>
      </c>
      <c r="C37" s="901"/>
      <c r="D37" s="698">
        <v>0</v>
      </c>
      <c r="E37" s="698">
        <v>0</v>
      </c>
      <c r="F37" s="698">
        <v>250000000</v>
      </c>
      <c r="G37" s="901"/>
      <c r="H37" s="699">
        <f t="shared" si="3"/>
        <v>250000000</v>
      </c>
      <c r="I37"/>
      <c r="J37"/>
      <c r="K37"/>
      <c r="L37"/>
    </row>
    <row r="38" spans="1:12">
      <c r="A38" s="656">
        <f t="shared" si="4"/>
        <v>24</v>
      </c>
      <c r="B38" s="671" t="s">
        <v>192</v>
      </c>
      <c r="C38" s="901"/>
      <c r="D38" s="698">
        <v>0</v>
      </c>
      <c r="E38" s="698">
        <v>0</v>
      </c>
      <c r="F38" s="698">
        <v>250000000</v>
      </c>
      <c r="G38" s="901"/>
      <c r="H38" s="699">
        <f t="shared" si="3"/>
        <v>250000000</v>
      </c>
      <c r="I38"/>
      <c r="J38"/>
      <c r="K38"/>
      <c r="L38"/>
    </row>
    <row r="39" spans="1:12">
      <c r="A39" s="656">
        <f t="shared" si="4"/>
        <v>25</v>
      </c>
      <c r="B39" s="671" t="s">
        <v>560</v>
      </c>
      <c r="C39" s="901"/>
      <c r="D39" s="698">
        <v>0</v>
      </c>
      <c r="E39" s="698">
        <v>0</v>
      </c>
      <c r="F39" s="698">
        <v>250000000</v>
      </c>
      <c r="G39" s="901"/>
      <c r="H39" s="699">
        <f t="shared" si="3"/>
        <v>250000000</v>
      </c>
      <c r="I39"/>
      <c r="J39"/>
      <c r="K39"/>
      <c r="L39"/>
    </row>
    <row r="40" spans="1:12">
      <c r="A40" s="656">
        <f t="shared" si="4"/>
        <v>26</v>
      </c>
      <c r="B40" s="671" t="s">
        <v>561</v>
      </c>
      <c r="C40" s="901"/>
      <c r="D40" s="698">
        <v>0</v>
      </c>
      <c r="E40" s="698">
        <v>0</v>
      </c>
      <c r="F40" s="698">
        <v>250000000</v>
      </c>
      <c r="G40" s="901"/>
      <c r="H40" s="699">
        <f t="shared" si="3"/>
        <v>250000000</v>
      </c>
      <c r="I40"/>
      <c r="J40"/>
      <c r="K40"/>
      <c r="L40"/>
    </row>
    <row r="41" spans="1:12">
      <c r="A41" s="655">
        <f t="shared" si="4"/>
        <v>27</v>
      </c>
      <c r="B41" s="670" t="s">
        <v>626</v>
      </c>
      <c r="C41" s="698"/>
      <c r="D41" s="698">
        <v>0</v>
      </c>
      <c r="E41" s="698">
        <v>0</v>
      </c>
      <c r="F41" s="698">
        <v>250000000</v>
      </c>
      <c r="G41" s="698"/>
      <c r="H41" s="699">
        <f t="shared" si="3"/>
        <v>250000000</v>
      </c>
      <c r="I41"/>
      <c r="J41"/>
      <c r="K41"/>
      <c r="L41"/>
    </row>
    <row r="42" spans="1:12" ht="13.5" thickBot="1">
      <c r="A42" s="669">
        <f t="shared" si="4"/>
        <v>28</v>
      </c>
      <c r="B42" s="668" t="s">
        <v>854</v>
      </c>
      <c r="C42" s="652">
        <f t="shared" ref="C42" si="5">SUM(C29:C41)/13</f>
        <v>0</v>
      </c>
      <c r="D42" s="652">
        <f t="shared" ref="D42" si="6">SUM(D29:D41)/13</f>
        <v>0</v>
      </c>
      <c r="E42" s="652">
        <f t="shared" ref="E42" si="7">SUM(E29:E41)/13</f>
        <v>0</v>
      </c>
      <c r="F42" s="652">
        <f t="shared" ref="F42" si="8">SUM(F29:F41)/13</f>
        <v>380769230.76923078</v>
      </c>
      <c r="G42" s="652">
        <f t="shared" ref="G42" si="9">SUM(G29:G41)/13</f>
        <v>0</v>
      </c>
      <c r="H42" s="700">
        <f t="shared" ref="H42" si="10">SUM(H29:H41)/13</f>
        <v>380769230.76923078</v>
      </c>
      <c r="I42"/>
      <c r="J42"/>
      <c r="K42"/>
      <c r="L42"/>
    </row>
    <row r="43" spans="1:12" ht="13.5" thickTop="1">
      <c r="A43" s="687"/>
      <c r="B43" s="702"/>
      <c r="C43" s="703"/>
      <c r="D43" s="704"/>
      <c r="E43" s="704"/>
      <c r="F43" s="704"/>
      <c r="G43" s="703"/>
      <c r="H43" s="703"/>
      <c r="I43"/>
      <c r="J43"/>
      <c r="K43"/>
      <c r="L43"/>
    </row>
    <row r="44" spans="1:12" ht="12.75" customHeight="1">
      <c r="A44" s="705" t="s">
        <v>685</v>
      </c>
      <c r="F44" s="400"/>
      <c r="G44" s="400"/>
      <c r="H44" s="400"/>
      <c r="I44"/>
      <c r="J44"/>
      <c r="K44"/>
    </row>
    <row r="45" spans="1:12">
      <c r="E45" s="400"/>
      <c r="F45" s="400"/>
      <c r="G45" s="400"/>
      <c r="H45" s="400"/>
      <c r="J45" s="702"/>
    </row>
    <row r="46" spans="1:12" ht="15">
      <c r="A46" s="707" t="s">
        <v>7</v>
      </c>
      <c r="E46" s="400"/>
      <c r="F46" s="400"/>
      <c r="G46" s="400"/>
      <c r="H46" s="76"/>
    </row>
    <row r="47" spans="1:12" ht="15">
      <c r="A47" s="707"/>
      <c r="B47" s="708" t="s">
        <v>636</v>
      </c>
      <c r="C47" s="708" t="s">
        <v>635</v>
      </c>
      <c r="D47" s="709" t="s">
        <v>634</v>
      </c>
      <c r="E47" s="708" t="s">
        <v>633</v>
      </c>
      <c r="F47" s="709" t="s">
        <v>632</v>
      </c>
      <c r="G47" s="708" t="s">
        <v>654</v>
      </c>
      <c r="H47" s="708" t="s">
        <v>655</v>
      </c>
    </row>
    <row r="48" spans="1:12">
      <c r="A48" s="450">
        <f>+A42+1</f>
        <v>29</v>
      </c>
      <c r="B48" s="710" t="str">
        <f>"Annual Interest Expense for "&amp;TCOS!L4</f>
        <v>Annual Interest Expense for 2026</v>
      </c>
      <c r="C48" s="711"/>
      <c r="D48" s="712"/>
      <c r="E48" s="713"/>
      <c r="F48" s="713"/>
      <c r="G48" s="713"/>
      <c r="H48" s="713"/>
      <c r="I48" s="713"/>
      <c r="J48" s="713"/>
      <c r="K48" s="713"/>
      <c r="L48" s="713"/>
    </row>
    <row r="49" spans="1:12">
      <c r="A49" s="450">
        <f t="shared" ref="A49:A56" si="11">+A48+1</f>
        <v>30</v>
      </c>
      <c r="B49" s="831" t="s">
        <v>757</v>
      </c>
      <c r="C49" s="711"/>
      <c r="D49" s="712"/>
      <c r="E49" s="715">
        <v>21380249.999999996</v>
      </c>
      <c r="F49" s="713"/>
      <c r="G49" s="713"/>
      <c r="H49" s="713"/>
      <c r="I49" s="713"/>
      <c r="J49" s="713"/>
      <c r="K49" s="713"/>
      <c r="L49" s="713"/>
    </row>
    <row r="50" spans="1:12" ht="28.5" customHeight="1">
      <c r="A50" s="450">
        <f t="shared" si="11"/>
        <v>31</v>
      </c>
      <c r="B50" s="1303" t="str">
        <f>"Less: Total Hedge Gain/Expense Accumulated from p 256-257, col. (i) of FERC Form 1  included in Ln "&amp;A49&amp;" and shown in "&amp;A74&amp;" below."</f>
        <v>Less: Total Hedge Gain/Expense Accumulated from p 256-257, col. (i) of FERC Form 1  included in Ln 30 and shown in 50 below.</v>
      </c>
      <c r="C50" s="1304"/>
      <c r="D50" s="712"/>
      <c r="E50" s="711">
        <f>+C74</f>
        <v>0</v>
      </c>
      <c r="F50" s="713"/>
      <c r="G50" s="713"/>
      <c r="H50" s="713"/>
      <c r="I50" s="713"/>
      <c r="J50" s="713"/>
      <c r="K50" s="713"/>
      <c r="L50" s="713"/>
    </row>
    <row r="51" spans="1:12" ht="16.5" customHeight="1">
      <c r="A51" s="450">
        <f t="shared" si="11"/>
        <v>32</v>
      </c>
      <c r="B51" s="716" t="str">
        <f>"Plus:  Allowed Hedge Recovery From Ln "&amp;A80&amp;"  below."</f>
        <v>Plus:  Allowed Hedge Recovery From Ln 55  below.</v>
      </c>
      <c r="C51" s="832"/>
      <c r="D51" s="712"/>
      <c r="E51" s="717">
        <f>+E80</f>
        <v>0</v>
      </c>
      <c r="F51" s="713"/>
      <c r="G51" s="713"/>
      <c r="H51" s="713"/>
      <c r="I51" s="713"/>
      <c r="J51" s="713"/>
      <c r="K51" s="713"/>
      <c r="L51" s="713"/>
    </row>
    <row r="52" spans="1:12">
      <c r="A52" s="450">
        <f t="shared" si="11"/>
        <v>33</v>
      </c>
      <c r="B52" s="831" t="s">
        <v>758</v>
      </c>
      <c r="C52" s="713"/>
      <c r="D52" s="713"/>
      <c r="E52" s="715">
        <v>354649.85362825275</v>
      </c>
      <c r="F52" s="713"/>
      <c r="G52" s="713"/>
      <c r="H52" s="713"/>
      <c r="I52" s="713"/>
      <c r="J52" s="713"/>
    </row>
    <row r="53" spans="1:12">
      <c r="A53" s="450">
        <f t="shared" si="11"/>
        <v>34</v>
      </c>
      <c r="B53" s="831" t="s">
        <v>759</v>
      </c>
      <c r="C53" s="718"/>
      <c r="D53" s="712"/>
      <c r="E53" s="715">
        <v>0</v>
      </c>
      <c r="F53" s="713"/>
      <c r="G53" s="713"/>
      <c r="H53" s="713"/>
      <c r="I53" s="713"/>
      <c r="J53" s="713"/>
    </row>
    <row r="54" spans="1:12">
      <c r="A54" s="450">
        <f t="shared" si="11"/>
        <v>35</v>
      </c>
      <c r="B54" s="831" t="s">
        <v>760</v>
      </c>
      <c r="C54" s="718"/>
      <c r="D54" s="712"/>
      <c r="E54" s="715"/>
      <c r="F54" s="713"/>
      <c r="G54" s="713"/>
      <c r="H54" s="713"/>
      <c r="I54" s="713"/>
      <c r="J54" s="713"/>
    </row>
    <row r="55" spans="1:12" ht="13.5" thickBot="1">
      <c r="A55" s="450">
        <f t="shared" si="11"/>
        <v>36</v>
      </c>
      <c r="B55" s="831" t="s">
        <v>761</v>
      </c>
      <c r="C55" s="718"/>
      <c r="D55" s="712"/>
      <c r="E55" s="719"/>
      <c r="F55" s="713"/>
      <c r="G55" s="713"/>
      <c r="H55" s="713"/>
      <c r="I55" s="713"/>
      <c r="J55" s="713"/>
    </row>
    <row r="56" spans="1:12">
      <c r="A56" s="450">
        <f t="shared" si="11"/>
        <v>37</v>
      </c>
      <c r="B56" s="710" t="str">
        <f>"Total Interest Expense (Ln "&amp;A49&amp;" - "&amp;A50&amp;" + "&amp;A52&amp;" + "&amp;A53&amp;" - "&amp;A54&amp;" - "&amp;A55&amp;")"</f>
        <v>Total Interest Expense (Ln 30 - 31 + 33 + 34 - 35 - 36)</v>
      </c>
      <c r="C56" s="720"/>
      <c r="D56" s="721"/>
      <c r="E56" s="722">
        <f>+E49-E50+E51+E52+E53-E54-E55</f>
        <v>21734899.853628248</v>
      </c>
      <c r="F56" s="713"/>
      <c r="G56" s="713"/>
      <c r="H56" s="713"/>
      <c r="I56" s="713"/>
      <c r="J56" s="713"/>
    </row>
    <row r="57" spans="1:12" ht="13.5" thickBot="1">
      <c r="A57" s="450"/>
      <c r="B57" s="714"/>
      <c r="C57" s="718"/>
      <c r="D57" s="712"/>
      <c r="E57" s="722"/>
      <c r="F57" s="713"/>
      <c r="G57" s="713"/>
      <c r="H57" s="713"/>
      <c r="I57" s="713"/>
      <c r="J57" s="713"/>
    </row>
    <row r="58" spans="1:12" ht="13.5" thickBot="1">
      <c r="A58" s="450">
        <f>+A56+1</f>
        <v>38</v>
      </c>
      <c r="B58" s="710" t="str">
        <f>"Average Cost of Debt for "&amp;TCOS!L4&amp;" (Ln "&amp;A56&amp;"/ ln "&amp;A42&amp;" (g))"</f>
        <v>Average Cost of Debt for 2026 (Ln 37/ ln 28 (g))</v>
      </c>
      <c r="C58" s="720"/>
      <c r="D58" s="712"/>
      <c r="E58" s="723">
        <f>+E56/H42</f>
        <v>5.7081555171144889E-2</v>
      </c>
      <c r="F58" s="713"/>
      <c r="G58" s="713"/>
      <c r="H58" s="713"/>
      <c r="I58" s="713"/>
      <c r="J58" s="713"/>
    </row>
    <row r="59" spans="1:12">
      <c r="A59" s="724"/>
      <c r="B59" s="714"/>
      <c r="C59" s="718"/>
      <c r="D59" s="712"/>
      <c r="E59" s="718"/>
      <c r="F59" s="713"/>
      <c r="G59" s="713"/>
      <c r="H59" s="713"/>
      <c r="I59" s="713"/>
      <c r="J59" s="713"/>
    </row>
    <row r="60" spans="1:12" s="725" customFormat="1" ht="28.5" customHeight="1">
      <c r="A60" s="545"/>
      <c r="B60" s="1305" t="s">
        <v>0</v>
      </c>
      <c r="C60" s="1305"/>
      <c r="D60" s="1305"/>
      <c r="E60" s="1305"/>
      <c r="F60" s="546"/>
    </row>
    <row r="61" spans="1:12" s="725" customFormat="1" ht="107.25" customHeight="1">
      <c r="A61" s="547">
        <f>+A58+1</f>
        <v>39</v>
      </c>
      <c r="B61" s="1306" t="s">
        <v>312</v>
      </c>
      <c r="C61" s="1284"/>
      <c r="D61" s="1284"/>
      <c r="E61" s="1284"/>
      <c r="F61" s="400"/>
    </row>
    <row r="62" spans="1:12" s="725" customFormat="1" ht="12" customHeight="1">
      <c r="A62" s="545"/>
      <c r="B62" s="548"/>
      <c r="C62" s="548"/>
      <c r="D62" s="548"/>
      <c r="E62" s="548"/>
      <c r="G62" s="1307" t="s">
        <v>232</v>
      </c>
      <c r="H62" s="1307"/>
    </row>
    <row r="63" spans="1:12" s="725" customFormat="1" ht="52.5" customHeight="1">
      <c r="A63" s="408"/>
      <c r="B63" s="727" t="s">
        <v>359</v>
      </c>
      <c r="C63" s="726" t="str">
        <f>"Total Hedge (Gain)/Loss for "&amp;TCOS!L4</f>
        <v>Total Hedge (Gain)/Loss for 2026</v>
      </c>
      <c r="D63" s="726" t="str">
        <f>"Less Excludable Amounts (See NOTE on Line "&amp;A61&amp;")"</f>
        <v>Less Excludable Amounts (See NOTE on Line 39)</v>
      </c>
      <c r="E63" s="726" t="s">
        <v>1</v>
      </c>
      <c r="F63" s="726" t="s">
        <v>231</v>
      </c>
      <c r="G63" s="726" t="s">
        <v>283</v>
      </c>
      <c r="H63" s="726" t="s">
        <v>285</v>
      </c>
    </row>
    <row r="64" spans="1:12" s="725" customFormat="1" ht="12.75" customHeight="1">
      <c r="A64" s="408">
        <f>+A61+1</f>
        <v>40</v>
      </c>
      <c r="B64" s="913">
        <v>0</v>
      </c>
      <c r="C64" s="634">
        <v>0</v>
      </c>
      <c r="D64" s="634">
        <v>0</v>
      </c>
      <c r="E64" s="729">
        <f t="shared" ref="E64:E72" si="12">+C64-D64</f>
        <v>0</v>
      </c>
      <c r="F64" s="634"/>
      <c r="G64" s="730"/>
      <c r="H64" s="730"/>
      <c r="I64"/>
      <c r="J64"/>
    </row>
    <row r="65" spans="1:8" s="725" customFormat="1" ht="12.75" customHeight="1">
      <c r="A65" s="408">
        <f t="shared" ref="A65:A74" si="13">+A64+1</f>
        <v>41</v>
      </c>
      <c r="B65" s="913">
        <v>0</v>
      </c>
      <c r="C65" s="634">
        <v>0</v>
      </c>
      <c r="D65" s="634">
        <v>0</v>
      </c>
      <c r="E65" s="729">
        <f t="shared" si="12"/>
        <v>0</v>
      </c>
      <c r="F65" s="634"/>
      <c r="G65" s="730"/>
      <c r="H65" s="730"/>
    </row>
    <row r="66" spans="1:8" s="725" customFormat="1" ht="12.75" customHeight="1">
      <c r="A66" s="408">
        <f t="shared" si="13"/>
        <v>42</v>
      </c>
      <c r="B66" s="728"/>
      <c r="C66" s="634"/>
      <c r="D66" s="731"/>
      <c r="E66" s="729">
        <f t="shared" si="12"/>
        <v>0</v>
      </c>
      <c r="F66" s="634"/>
      <c r="G66" s="730"/>
      <c r="H66" s="730"/>
    </row>
    <row r="67" spans="1:8" s="725" customFormat="1" ht="12.75" customHeight="1">
      <c r="A67" s="408">
        <f t="shared" si="13"/>
        <v>43</v>
      </c>
      <c r="B67" s="728"/>
      <c r="C67" s="634"/>
      <c r="D67" s="731"/>
      <c r="E67" s="729">
        <f t="shared" si="12"/>
        <v>0</v>
      </c>
      <c r="F67" s="634"/>
      <c r="G67" s="730"/>
      <c r="H67" s="730"/>
    </row>
    <row r="68" spans="1:8" s="725" customFormat="1" ht="12.75" customHeight="1">
      <c r="A68" s="408">
        <f t="shared" si="13"/>
        <v>44</v>
      </c>
      <c r="B68" s="728"/>
      <c r="C68" s="634"/>
      <c r="D68" s="728"/>
      <c r="E68" s="729">
        <f t="shared" si="12"/>
        <v>0</v>
      </c>
      <c r="F68" s="634"/>
      <c r="G68" s="730"/>
      <c r="H68" s="730"/>
    </row>
    <row r="69" spans="1:8" s="725" customFormat="1" ht="12.75" customHeight="1">
      <c r="A69" s="408">
        <f t="shared" si="13"/>
        <v>45</v>
      </c>
      <c r="B69" s="728"/>
      <c r="C69" s="634"/>
      <c r="D69" s="728"/>
      <c r="E69" s="729">
        <f t="shared" si="12"/>
        <v>0</v>
      </c>
      <c r="F69" s="634"/>
      <c r="G69" s="730"/>
      <c r="H69" s="730"/>
    </row>
    <row r="70" spans="1:8" s="725" customFormat="1" ht="12.75" customHeight="1">
      <c r="A70" s="408">
        <f t="shared" si="13"/>
        <v>46</v>
      </c>
      <c r="B70" s="728"/>
      <c r="C70" s="634"/>
      <c r="D70" s="728"/>
      <c r="E70" s="729">
        <f t="shared" si="12"/>
        <v>0</v>
      </c>
      <c r="F70" s="634"/>
      <c r="G70" s="730"/>
      <c r="H70" s="730"/>
    </row>
    <row r="71" spans="1:8" s="725" customFormat="1" ht="12.75" customHeight="1">
      <c r="A71" s="408">
        <f t="shared" si="13"/>
        <v>47</v>
      </c>
      <c r="B71" s="728"/>
      <c r="C71" s="634"/>
      <c r="D71" s="732"/>
      <c r="E71" s="729">
        <f t="shared" si="12"/>
        <v>0</v>
      </c>
      <c r="F71" s="634"/>
      <c r="G71" s="730"/>
      <c r="H71" s="730"/>
    </row>
    <row r="72" spans="1:8" s="725" customFormat="1" ht="12.75" customHeight="1">
      <c r="A72" s="408">
        <f t="shared" si="13"/>
        <v>48</v>
      </c>
      <c r="B72" s="728"/>
      <c r="C72" s="634"/>
      <c r="D72" s="715"/>
      <c r="E72" s="729">
        <f t="shared" si="12"/>
        <v>0</v>
      </c>
      <c r="F72" s="733"/>
      <c r="G72" s="733"/>
      <c r="H72" s="733"/>
    </row>
    <row r="73" spans="1:8" s="725" customFormat="1" ht="12.75" customHeight="1">
      <c r="A73" s="408">
        <f t="shared" si="13"/>
        <v>49</v>
      </c>
      <c r="B73" s="3"/>
      <c r="C73" s="734"/>
      <c r="D73" s="734"/>
      <c r="E73" s="735"/>
      <c r="F73" s="729">
        <f>SUM(F64:F72)</f>
        <v>0</v>
      </c>
    </row>
    <row r="74" spans="1:8" s="725" customFormat="1" ht="12.75" customHeight="1">
      <c r="A74" s="408">
        <f t="shared" si="13"/>
        <v>50</v>
      </c>
      <c r="B74" s="714" t="s">
        <v>8</v>
      </c>
      <c r="C74" s="722">
        <f>SUM(C64:C72)</f>
        <v>0</v>
      </c>
      <c r="D74" s="722">
        <f>SUM(D64:D72)</f>
        <v>0</v>
      </c>
    </row>
    <row r="75" spans="1:8" s="725" customFormat="1" ht="21" customHeight="1">
      <c r="A75" s="408"/>
      <c r="B75" s="714"/>
      <c r="C75" s="722"/>
      <c r="D75" s="722"/>
      <c r="E75" s="722"/>
    </row>
    <row r="76" spans="1:8" s="725" customFormat="1" ht="14.25" customHeight="1">
      <c r="A76" s="408">
        <f>+A74+1</f>
        <v>51</v>
      </c>
      <c r="B76" s="714" t="str">
        <f>"Hedge Gain or Loss Prior to Application of Recovery Limit (Sum of Lines "&amp;A64&amp;" to "&amp;A72&amp;")"</f>
        <v>Hedge Gain or Loss Prior to Application of Recovery Limit (Sum of Lines 40 to 48)</v>
      </c>
      <c r="C76" s="722"/>
      <c r="D76" s="722"/>
      <c r="E76" s="722">
        <f>SUM(E64:E72)</f>
        <v>0</v>
      </c>
    </row>
    <row r="77" spans="1:8" s="725" customFormat="1" ht="12.75" customHeight="1">
      <c r="A77" s="408">
        <f>+A76+1</f>
        <v>52</v>
      </c>
      <c r="B77" s="736" t="str">
        <f>"Total Average Capital Structure Balance for "&amp;TCOS!L4&amp;" (TCOS, Ln "&amp;TCOS!B274&amp;")"</f>
        <v>Total Average Capital Structure Balance for 2026 (TCOS, Ln 157)</v>
      </c>
      <c r="C77" s="718"/>
      <c r="D77" s="712"/>
      <c r="E77" s="737">
        <f>TCOS!G274</f>
        <v>775572647.01054347</v>
      </c>
      <c r="H77" s="729"/>
    </row>
    <row r="78" spans="1:8" s="725" customFormat="1" ht="12.75" customHeight="1">
      <c r="A78" s="408">
        <f>+A77+1</f>
        <v>53</v>
      </c>
      <c r="B78" s="714" t="s">
        <v>489</v>
      </c>
      <c r="C78" s="718"/>
      <c r="D78" s="712"/>
      <c r="E78" s="738">
        <v>5.0000000000000001E-4</v>
      </c>
      <c r="G78" s="739"/>
    </row>
    <row r="79" spans="1:8" s="725" customFormat="1" ht="12.75" customHeight="1" thickBot="1">
      <c r="A79" s="408">
        <f>+A78+1</f>
        <v>54</v>
      </c>
      <c r="B79" s="714" t="s">
        <v>490</v>
      </c>
      <c r="C79" s="718"/>
      <c r="D79" s="712"/>
      <c r="E79" s="740">
        <f>+E77*E78</f>
        <v>387786.32350527175</v>
      </c>
    </row>
    <row r="80" spans="1:8" s="725" customFormat="1" ht="12.75" customHeight="1" thickBot="1">
      <c r="A80" s="408">
        <f>+A79+1</f>
        <v>55</v>
      </c>
      <c r="B80" s="710" t="str">
        <f>"Recoverable Hedge Amortization (Lesser of Ln "&amp;A76&amp;" or Ln "&amp;A79&amp;")"</f>
        <v>Recoverable Hedge Amortization (Lesser of Ln 51 or Ln 54)</v>
      </c>
      <c r="C80" s="718"/>
      <c r="D80" s="712"/>
      <c r="E80" s="741">
        <f>+IF(E79&lt;E76,E79,E76)</f>
        <v>0</v>
      </c>
    </row>
    <row r="81" spans="1:5" s="725" customFormat="1" ht="12.75" customHeight="1">
      <c r="A81" s="408"/>
      <c r="B81" s="714"/>
      <c r="C81" s="718"/>
      <c r="D81" s="712"/>
      <c r="E81" s="718"/>
    </row>
    <row r="82" spans="1:5" s="725" customFormat="1" ht="12.75" customHeight="1">
      <c r="A82" s="742" t="s">
        <v>9</v>
      </c>
      <c r="B82" s="743"/>
      <c r="C82" s="718"/>
      <c r="D82" s="712"/>
      <c r="E82" s="718"/>
    </row>
    <row r="83" spans="1:5" s="725" customFormat="1" ht="12.75" customHeight="1">
      <c r="A83" s="408"/>
      <c r="B83" s="714"/>
      <c r="C83" s="718"/>
      <c r="D83" s="712"/>
      <c r="E83" s="718"/>
    </row>
    <row r="84" spans="1:5" s="725" customFormat="1" ht="12.75" customHeight="1">
      <c r="A84" s="408"/>
      <c r="B84" s="744" t="s">
        <v>258</v>
      </c>
      <c r="C84" s="745"/>
      <c r="D84" s="712"/>
      <c r="E84" s="745" t="s">
        <v>506</v>
      </c>
    </row>
    <row r="85" spans="1:5" s="725" customFormat="1" ht="12.75" customHeight="1">
      <c r="A85" s="408">
        <f>+A80+1</f>
        <v>56</v>
      </c>
      <c r="B85" s="712" t="str">
        <f>""&amp;C$85*100&amp;"% Series - "&amp;C$86&amp;" - Dividend Rate (p. 250-251)"</f>
        <v>0% Series - 0 - Dividend Rate (p. 250-251)</v>
      </c>
      <c r="C85" s="746">
        <v>0</v>
      </c>
      <c r="D85" s="746">
        <v>0</v>
      </c>
      <c r="E85" s="745"/>
    </row>
    <row r="86" spans="1:5" s="725" customFormat="1" ht="12.75" customHeight="1">
      <c r="A86" s="408">
        <f>+A85+1</f>
        <v>57</v>
      </c>
      <c r="B86" s="712" t="str">
        <f>""&amp;C$85*100&amp;"% Series - "&amp;C$86&amp;" - Par Value (p. 250-251)"</f>
        <v>0% Series - 0 - Par Value (p. 250-251)</v>
      </c>
      <c r="C86" s="747">
        <v>0</v>
      </c>
      <c r="D86" s="747">
        <v>0</v>
      </c>
      <c r="E86" s="745"/>
    </row>
    <row r="87" spans="1:5" s="725" customFormat="1" ht="12.75" customHeight="1">
      <c r="A87" s="408">
        <f>+A86+1</f>
        <v>58</v>
      </c>
      <c r="B87" s="712" t="str">
        <f>""&amp;C$85*100&amp;"% Series - "&amp;C$86&amp;" - Shares O/S (p.250-251) "</f>
        <v xml:space="preserve">0% Series - 0 - Shares O/S (p.250-251) </v>
      </c>
      <c r="C87" s="715">
        <v>0</v>
      </c>
      <c r="D87" s="715">
        <v>0</v>
      </c>
      <c r="E87" s="748"/>
    </row>
    <row r="88" spans="1:5" s="725" customFormat="1" ht="12.75" customHeight="1">
      <c r="A88" s="408">
        <f>+A87+1</f>
        <v>59</v>
      </c>
      <c r="B88" s="712" t="str">
        <f>""&amp;C$85*100&amp;"% Series - "&amp;C$86&amp;" - Monetary Value (Ln "&amp;A86&amp;" * Ln "&amp;A87&amp;")"</f>
        <v>0% Series - 0 - Monetary Value (Ln 57 * Ln 58)</v>
      </c>
      <c r="C88" s="749">
        <f>+C87*C86</f>
        <v>0</v>
      </c>
      <c r="D88" s="749">
        <f>+D87*D86</f>
        <v>0</v>
      </c>
      <c r="E88" s="446">
        <f>IF(C88=D88=0,0,AVERAGE(C88:D88))</f>
        <v>0</v>
      </c>
    </row>
    <row r="89" spans="1:5" s="725" customFormat="1" ht="12.75" customHeight="1">
      <c r="A89" s="408">
        <f>+A88+1</f>
        <v>60</v>
      </c>
      <c r="B89" s="712" t="str">
        <f>""&amp;C$85*100&amp;"% Series - "&amp;C$86&amp;" -  Dividend Amount (Ln "&amp;A85&amp;" * Ln "&amp;A88&amp;")"</f>
        <v>0% Series - 0 -  Dividend Amount (Ln 56 * Ln 59)</v>
      </c>
      <c r="C89" s="749">
        <f>+C88*C85</f>
        <v>0</v>
      </c>
      <c r="D89" s="749">
        <f>+D88*D85</f>
        <v>0</v>
      </c>
      <c r="E89" s="446">
        <f>IF(C89=D89=0,0,AVERAGE(C89:D89))</f>
        <v>0</v>
      </c>
    </row>
    <row r="90" spans="1:5" s="725" customFormat="1" ht="12.75" customHeight="1">
      <c r="A90" s="408"/>
      <c r="B90" s="712"/>
      <c r="C90" s="749"/>
      <c r="D90" s="739"/>
      <c r="E90" s="750"/>
    </row>
    <row r="91" spans="1:5" s="725" customFormat="1" ht="12.75" customHeight="1">
      <c r="A91" s="408">
        <f>+A89+1</f>
        <v>61</v>
      </c>
      <c r="B91" s="712" t="str">
        <f>""&amp;C$91*100&amp;"% Series - "&amp;C$92&amp;" - Dividend Rate (p. 250-251)"</f>
        <v>0% Series - 0 - Dividend Rate (p. 250-251)</v>
      </c>
      <c r="C91" s="746">
        <v>0</v>
      </c>
      <c r="D91" s="746">
        <v>0</v>
      </c>
      <c r="E91" s="750"/>
    </row>
    <row r="92" spans="1:5" s="725" customFormat="1" ht="12.75" customHeight="1">
      <c r="A92" s="408">
        <f>+A91+1</f>
        <v>62</v>
      </c>
      <c r="B92" s="712" t="str">
        <f>""&amp;C$91*100&amp;"% Series - "&amp;C$92&amp;" - Par Value (p. 250-251)"</f>
        <v>0% Series - 0 - Par Value (p. 250-251)</v>
      </c>
      <c r="C92" s="747">
        <v>0</v>
      </c>
      <c r="D92" s="747">
        <v>0</v>
      </c>
      <c r="E92" s="750"/>
    </row>
    <row r="93" spans="1:5" s="725" customFormat="1" ht="12.75" customHeight="1">
      <c r="A93" s="408">
        <f>+A92+1</f>
        <v>63</v>
      </c>
      <c r="B93" s="712" t="str">
        <f>""&amp;C$91*100&amp;"% Series - "&amp;C$92&amp;" - Shares O/S (p.250-251) "</f>
        <v xml:space="preserve">0% Series - 0 - Shares O/S (p.250-251) </v>
      </c>
      <c r="C93" s="715">
        <v>0</v>
      </c>
      <c r="D93" s="715">
        <v>0</v>
      </c>
      <c r="E93" s="750"/>
    </row>
    <row r="94" spans="1:5" s="725" customFormat="1" ht="12.75" customHeight="1">
      <c r="A94" s="408">
        <f>+A93+1</f>
        <v>64</v>
      </c>
      <c r="B94" s="712" t="str">
        <f>""&amp;C$91*100&amp;"% Series - "&amp;C$92&amp;" - Monetary Value (Ln "&amp;A92&amp;" * Ln "&amp;A93&amp;")"</f>
        <v>0% Series - 0 - Monetary Value (Ln 62 * Ln 63)</v>
      </c>
      <c r="C94" s="711">
        <f>+C93*C92</f>
        <v>0</v>
      </c>
      <c r="D94" s="711">
        <f>+D93*D92</f>
        <v>0</v>
      </c>
      <c r="E94" s="446">
        <f>IF(C94=D94=0,0,AVERAGE(C94:D94))</f>
        <v>0</v>
      </c>
    </row>
    <row r="95" spans="1:5" s="725" customFormat="1" ht="12.75" customHeight="1">
      <c r="A95" s="408">
        <f>+A94+1</f>
        <v>65</v>
      </c>
      <c r="B95" s="712" t="str">
        <f>""&amp;C$91*100&amp;"% Series - "&amp;C$92&amp;" -  Dividend Amount (Ln "&amp;A91&amp;" * Ln "&amp;A94&amp;")"</f>
        <v>0% Series - 0 -  Dividend Amount (Ln 61 * Ln 64)</v>
      </c>
      <c r="C95" s="711">
        <f>+C94*C91</f>
        <v>0</v>
      </c>
      <c r="D95" s="711">
        <f>+D94*D91</f>
        <v>0</v>
      </c>
      <c r="E95" s="446">
        <f>IF(C95=D95=0,0,AVERAGE(C95:D95))</f>
        <v>0</v>
      </c>
    </row>
    <row r="96" spans="1:5" s="725" customFormat="1" ht="12.75" customHeight="1">
      <c r="A96" s="408"/>
      <c r="B96" s="712"/>
      <c r="C96" s="711"/>
      <c r="D96" s="711"/>
      <c r="E96" s="446"/>
    </row>
    <row r="97" spans="1:6" s="725" customFormat="1" ht="12.75" customHeight="1">
      <c r="A97" s="408">
        <f>+A95+1</f>
        <v>66</v>
      </c>
      <c r="B97" s="712" t="str">
        <f>""&amp;C$97*100&amp;"% Series - "&amp;C$98&amp;" - Dividend Rate (p. 250-251)"</f>
        <v>0% Series - 0 - Dividend Rate (p. 250-251)</v>
      </c>
      <c r="C97" s="746">
        <v>0</v>
      </c>
      <c r="D97" s="746">
        <v>0</v>
      </c>
      <c r="E97" s="446"/>
    </row>
    <row r="98" spans="1:6" s="725" customFormat="1" ht="12.75" customHeight="1">
      <c r="A98" s="408">
        <f>+A97+1</f>
        <v>67</v>
      </c>
      <c r="B98" s="712" t="str">
        <f>""&amp;C$97*100&amp;"% Series - "&amp;C$98&amp;" - Par Value (p. 250-251)"</f>
        <v>0% Series - 0 - Par Value (p. 250-251)</v>
      </c>
      <c r="C98" s="747">
        <v>0</v>
      </c>
      <c r="D98" s="747">
        <v>0</v>
      </c>
      <c r="E98" s="446"/>
    </row>
    <row r="99" spans="1:6" s="725" customFormat="1" ht="12.75" customHeight="1">
      <c r="A99" s="408">
        <f>+A98+1</f>
        <v>68</v>
      </c>
      <c r="B99" s="712" t="str">
        <f>""&amp;C$97*100&amp;"% Series - "&amp;C$98&amp;" - Shares O/S (p.250-251) "</f>
        <v xml:space="preserve">0% Series - 0 - Shares O/S (p.250-251) </v>
      </c>
      <c r="C99" s="715">
        <v>0</v>
      </c>
      <c r="D99" s="715">
        <v>0</v>
      </c>
      <c r="E99" s="750"/>
    </row>
    <row r="100" spans="1:6" s="725" customFormat="1" ht="12.75" customHeight="1">
      <c r="A100" s="408">
        <f>+A99+1</f>
        <v>69</v>
      </c>
      <c r="B100" s="712" t="str">
        <f>""&amp;C$97*100&amp;"% Series - "&amp;C$98&amp;" - Monetary Value (Ln "&amp;A98&amp;" * Ln "&amp;A99&amp;")"</f>
        <v>0% Series - 0 - Monetary Value (Ln 67 * Ln 68)</v>
      </c>
      <c r="C100" s="711">
        <f>+C99*C98</f>
        <v>0</v>
      </c>
      <c r="D100" s="711">
        <f>+D99*D98</f>
        <v>0</v>
      </c>
      <c r="E100" s="446">
        <f>IF(C100=D100=0,0,AVERAGE(C100:D100))</f>
        <v>0</v>
      </c>
    </row>
    <row r="101" spans="1:6" s="725" customFormat="1" ht="12.75" customHeight="1">
      <c r="A101" s="408">
        <f>+A100+1</f>
        <v>70</v>
      </c>
      <c r="B101" s="712" t="str">
        <f>""&amp;C$97*100&amp;"% Series - "&amp;C$98&amp;" -  Dividend Amount (Ln "&amp;A97&amp;" * Ln "&amp;A100&amp;")"</f>
        <v>0% Series - 0 -  Dividend Amount (Ln 66 * Ln 69)</v>
      </c>
      <c r="C101" s="711">
        <f>+C100*C97</f>
        <v>0</v>
      </c>
      <c r="D101" s="711">
        <f>+D100*D97</f>
        <v>0</v>
      </c>
      <c r="E101" s="446">
        <f>IF(C101=D101=0,0,AVERAGE(C101:D101))</f>
        <v>0</v>
      </c>
    </row>
    <row r="102" spans="1:6" s="725" customFormat="1" ht="12.75" customHeight="1">
      <c r="A102" s="408"/>
      <c r="B102" s="712"/>
      <c r="C102" s="711"/>
      <c r="D102" s="711"/>
    </row>
    <row r="103" spans="1:6" s="725" customFormat="1" ht="12.75" customHeight="1">
      <c r="A103" s="408">
        <f>+A101+1</f>
        <v>71</v>
      </c>
      <c r="B103" s="721" t="str">
        <f>"Balance of Preferred Stock (Lns "&amp;A88&amp;", "&amp;A94&amp;", "&amp;A100&amp;")"</f>
        <v>Balance of Preferred Stock (Lns 59, 64, 69)</v>
      </c>
      <c r="C103" s="711">
        <f>+C88+C94+C100</f>
        <v>0</v>
      </c>
      <c r="D103" s="711">
        <f>+D88+D94+D100</f>
        <v>0</v>
      </c>
      <c r="E103" s="751">
        <f>+E88+E94+E100</f>
        <v>0</v>
      </c>
      <c r="F103" s="712" t="s">
        <v>313</v>
      </c>
    </row>
    <row r="104" spans="1:6" s="725" customFormat="1" ht="12.75" customHeight="1" thickBot="1">
      <c r="A104" s="408">
        <f>+A103+1</f>
        <v>72</v>
      </c>
      <c r="B104" s="721" t="str">
        <f>"Dividends on Preferred Stock (Lns "&amp;A89&amp;", "&amp;A95&amp;", "&amp;A101&amp;")"</f>
        <v>Dividends on Preferred Stock (Lns 60, 65, 70)</v>
      </c>
      <c r="C104" s="752">
        <f>+C95+C89+C101</f>
        <v>0</v>
      </c>
      <c r="D104" s="752">
        <f>+D95+D89+D101</f>
        <v>0</v>
      </c>
      <c r="E104" s="753">
        <f>+E101+E95+E89</f>
        <v>0</v>
      </c>
    </row>
    <row r="105" spans="1:6" s="725" customFormat="1" ht="12.75" customHeight="1" thickBot="1">
      <c r="A105" s="408">
        <f>+A104+1</f>
        <v>73</v>
      </c>
      <c r="B105" s="721" t="str">
        <f>"Average Cost of Preferred Stock (Ln "&amp;A104&amp;"/"&amp;A103&amp;")"</f>
        <v>Average Cost of Preferred Stock (Ln 72/71)</v>
      </c>
      <c r="C105" s="718">
        <f>IF(C103=0,0,C104/C103)</f>
        <v>0</v>
      </c>
      <c r="D105" s="718">
        <f>IF(D103=0,0,D104/D103)</f>
        <v>0</v>
      </c>
      <c r="E105" s="723">
        <f>IF(E103=0,0,+E104/E103)</f>
        <v>0</v>
      </c>
    </row>
    <row r="147" spans="7:7">
      <c r="G147" s="686" t="s">
        <v>114</v>
      </c>
    </row>
    <row r="164" spans="7:12">
      <c r="G164" s="952"/>
      <c r="L164" s="952"/>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46" fitToHeight="0" orientation="landscape" cellComments="asDisplayed" r:id="rId1"/>
  <headerFooter>
    <oddHeader xml:space="preserve">&amp;RPage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view="pageBreakPreview" zoomScale="80" zoomScaleNormal="100" zoomScaleSheetLayoutView="80" workbookViewId="0">
      <selection activeCell="A3" sqref="A3:O3"/>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2.5703125" customWidth="1"/>
    <col min="17" max="17" width="12.7109375" customWidth="1"/>
    <col min="18" max="18" width="1.85546875" customWidth="1"/>
    <col min="19" max="19" width="17.5703125" customWidth="1"/>
    <col min="20" max="20" width="1.85546875" customWidth="1"/>
    <col min="21" max="21" width="10.42578125" customWidth="1"/>
  </cols>
  <sheetData>
    <row r="1" spans="1:21" ht="15.75">
      <c r="A1" s="645" t="s">
        <v>114</v>
      </c>
    </row>
    <row r="2" spans="1:21" ht="15.75">
      <c r="A2" s="645" t="s">
        <v>114</v>
      </c>
    </row>
    <row r="3" spans="1:21" ht="18">
      <c r="A3" s="1289" t="s">
        <v>387</v>
      </c>
      <c r="B3" s="1289"/>
      <c r="C3" s="1289"/>
      <c r="D3" s="1289"/>
      <c r="E3" s="1289"/>
      <c r="F3" s="1289"/>
      <c r="G3" s="1289"/>
      <c r="H3" s="1289"/>
      <c r="I3" s="1289"/>
      <c r="J3" s="1289"/>
      <c r="K3" s="1289"/>
      <c r="L3" s="1289"/>
      <c r="M3" s="1289"/>
      <c r="N3" s="1289"/>
      <c r="O3" s="1289"/>
    </row>
    <row r="4" spans="1:21" ht="18">
      <c r="A4" s="1288" t="str">
        <f>"Cost of Service Formula Rate Using Actual/Projected FF1 Balances"</f>
        <v>Cost of Service Formula Rate Using Actual/Projected FF1 Balances</v>
      </c>
      <c r="B4" s="1288"/>
      <c r="C4" s="1288"/>
      <c r="D4" s="1288"/>
      <c r="E4" s="1288"/>
      <c r="F4" s="1288"/>
      <c r="G4" s="1288"/>
      <c r="H4" s="1288"/>
      <c r="I4" s="1288"/>
      <c r="J4" s="1288"/>
      <c r="K4" s="1288"/>
      <c r="L4" s="1288"/>
      <c r="M4" s="1288"/>
      <c r="N4" s="1288"/>
      <c r="O4" s="1288"/>
    </row>
    <row r="5" spans="1:21" ht="18">
      <c r="A5" s="1288" t="s">
        <v>239</v>
      </c>
      <c r="B5" s="1288"/>
      <c r="C5" s="1288"/>
      <c r="D5" s="1288"/>
      <c r="E5" s="1288"/>
      <c r="F5" s="1288"/>
      <c r="G5" s="1288"/>
      <c r="H5" s="1288"/>
      <c r="I5" s="1288"/>
      <c r="J5" s="1288"/>
      <c r="K5" s="1288"/>
      <c r="L5" s="1288"/>
      <c r="M5" s="1288"/>
      <c r="N5" s="1288"/>
      <c r="O5" s="1288"/>
    </row>
    <row r="6" spans="1:21" ht="18">
      <c r="A6" s="1282" t="str">
        <f>+TCOS!F9</f>
        <v>WHEELING POWER COMPANY</v>
      </c>
      <c r="B6" s="1282"/>
      <c r="C6" s="1282"/>
      <c r="D6" s="1282"/>
      <c r="E6" s="1282"/>
      <c r="F6" s="1282"/>
      <c r="G6" s="1282"/>
      <c r="H6" s="1282"/>
      <c r="I6" s="1282"/>
      <c r="J6" s="1282"/>
      <c r="K6" s="1282"/>
      <c r="L6" s="1282"/>
      <c r="M6" s="1282"/>
      <c r="N6" s="1282"/>
      <c r="O6" s="1282"/>
    </row>
    <row r="7" spans="1:21" ht="12.75" customHeight="1">
      <c r="A7" s="128"/>
      <c r="B7" s="128"/>
      <c r="C7" s="128"/>
      <c r="D7" s="128"/>
      <c r="E7" s="128"/>
      <c r="F7" s="128"/>
      <c r="G7" s="128"/>
      <c r="H7" s="128"/>
      <c r="I7" s="128"/>
      <c r="J7" s="128"/>
      <c r="K7" s="128"/>
      <c r="L7" s="128"/>
    </row>
    <row r="8" spans="1:21" ht="12.75" customHeight="1">
      <c r="A8" s="1317" t="s">
        <v>390</v>
      </c>
      <c r="B8" s="1317"/>
      <c r="C8" s="1317"/>
      <c r="D8" s="1317"/>
      <c r="E8" s="1317"/>
      <c r="F8" s="1317"/>
      <c r="G8" s="1317"/>
      <c r="H8" s="1317"/>
      <c r="I8" s="1317"/>
      <c r="J8" s="1317"/>
      <c r="K8" s="1317"/>
      <c r="L8" s="1317"/>
      <c r="M8" s="1317"/>
      <c r="N8" s="1317"/>
      <c r="O8" s="1317"/>
    </row>
    <row r="9" spans="1:21" ht="12.75" customHeight="1">
      <c r="A9" s="1317"/>
      <c r="B9" s="1317"/>
      <c r="C9" s="1317"/>
      <c r="D9" s="1317"/>
      <c r="E9" s="1317"/>
      <c r="F9" s="1317"/>
      <c r="G9" s="1317"/>
      <c r="H9" s="1317"/>
      <c r="I9" s="1317"/>
      <c r="J9" s="1317"/>
      <c r="K9" s="1317"/>
      <c r="L9" s="1317"/>
      <c r="M9" s="1317"/>
      <c r="N9" s="1317"/>
      <c r="O9" s="1317"/>
    </row>
    <row r="10" spans="1:21">
      <c r="A10" s="1317"/>
      <c r="B10" s="1317"/>
      <c r="C10" s="1317"/>
      <c r="D10" s="1317"/>
      <c r="E10" s="1317"/>
      <c r="F10" s="1317"/>
      <c r="G10" s="1317"/>
      <c r="H10" s="1317"/>
      <c r="I10" s="1317"/>
      <c r="J10" s="1317"/>
      <c r="K10" s="1317"/>
      <c r="L10" s="1317"/>
      <c r="M10" s="1317"/>
      <c r="N10" s="1317"/>
      <c r="O10" s="1317"/>
    </row>
    <row r="11" spans="1:21">
      <c r="A11" s="1317"/>
      <c r="B11" s="1317"/>
      <c r="C11" s="1317"/>
      <c r="D11" s="1317"/>
      <c r="E11" s="1317"/>
      <c r="F11" s="1317"/>
      <c r="G11" s="1317"/>
      <c r="H11" s="1317"/>
      <c r="I11" s="1317"/>
      <c r="J11" s="1317"/>
      <c r="K11" s="1317"/>
      <c r="L11" s="1317"/>
      <c r="M11" s="1317"/>
      <c r="N11" s="1317"/>
      <c r="O11" s="1317"/>
    </row>
    <row r="12" spans="1:21">
      <c r="B12" s="1" t="s">
        <v>162</v>
      </c>
      <c r="C12" s="1"/>
      <c r="D12" s="1246" t="s">
        <v>163</v>
      </c>
      <c r="E12" s="1246"/>
      <c r="F12" s="1246"/>
      <c r="G12" s="1246"/>
      <c r="H12" s="1"/>
      <c r="I12" s="1" t="s">
        <v>4</v>
      </c>
      <c r="J12" s="1"/>
      <c r="K12" s="1" t="s">
        <v>165</v>
      </c>
      <c r="L12" s="1"/>
      <c r="M12" s="1" t="s">
        <v>84</v>
      </c>
      <c r="N12" s="1"/>
      <c r="O12" s="1" t="s">
        <v>85</v>
      </c>
      <c r="P12" s="1"/>
      <c r="Q12" s="1" t="s">
        <v>20</v>
      </c>
      <c r="R12" s="1"/>
      <c r="S12" s="1" t="s">
        <v>91</v>
      </c>
      <c r="T12" s="1"/>
      <c r="U12" s="76" t="s">
        <v>500</v>
      </c>
    </row>
    <row r="13" spans="1:21">
      <c r="I13" s="1315" t="s">
        <v>18</v>
      </c>
      <c r="Q13" s="1314" t="s">
        <v>19</v>
      </c>
      <c r="S13" s="1315" t="s">
        <v>21</v>
      </c>
      <c r="U13" s="226" t="s">
        <v>80</v>
      </c>
    </row>
    <row r="14" spans="1:21">
      <c r="A14" s="136" t="s">
        <v>17</v>
      </c>
      <c r="B14" s="136" t="s">
        <v>13</v>
      </c>
      <c r="C14" s="136"/>
      <c r="D14" s="164" t="s">
        <v>14</v>
      </c>
      <c r="E14" s="136"/>
      <c r="F14" s="136"/>
      <c r="G14" s="136"/>
      <c r="H14" s="136"/>
      <c r="I14" s="1297"/>
      <c r="J14" s="136"/>
      <c r="K14" s="136" t="s">
        <v>15</v>
      </c>
      <c r="L14" s="136"/>
      <c r="M14" s="136" t="s">
        <v>16</v>
      </c>
      <c r="N14" s="136"/>
      <c r="O14" s="136" t="s">
        <v>493</v>
      </c>
      <c r="Q14" s="1314"/>
      <c r="S14" s="1315"/>
      <c r="U14" s="226" t="s">
        <v>306</v>
      </c>
    </row>
    <row r="15" spans="1:21">
      <c r="A15" s="136"/>
      <c r="B15" s="136"/>
      <c r="C15" s="136"/>
      <c r="D15" s="164"/>
      <c r="E15" s="136"/>
      <c r="F15" s="136"/>
      <c r="G15" s="136"/>
      <c r="H15" s="136"/>
      <c r="I15" t="s">
        <v>491</v>
      </c>
      <c r="J15" s="136"/>
      <c r="K15" s="136"/>
      <c r="L15" s="136"/>
      <c r="M15" s="136"/>
      <c r="N15" s="136"/>
      <c r="O15" s="136"/>
      <c r="Q15" s="184"/>
      <c r="S15" s="136" t="s">
        <v>493</v>
      </c>
    </row>
    <row r="16" spans="1:21">
      <c r="I16" t="s">
        <v>492</v>
      </c>
    </row>
    <row r="17" spans="1:21">
      <c r="A17" s="1">
        <v>1</v>
      </c>
      <c r="B17" s="636"/>
      <c r="D17" s="1316"/>
      <c r="E17" s="1316"/>
      <c r="F17" s="1316"/>
      <c r="G17" s="1316"/>
      <c r="I17" s="637"/>
      <c r="K17" s="635"/>
      <c r="L17" s="107"/>
      <c r="M17" s="635"/>
      <c r="O17" s="137">
        <f>+K17-M17</f>
        <v>0</v>
      </c>
      <c r="Q17" s="172">
        <f>IF(I17="G",TCOS!L257,IF(I17="T",1,0))</f>
        <v>0</v>
      </c>
      <c r="S17" s="137">
        <f>ROUND(O17*Q17,0)</f>
        <v>0</v>
      </c>
      <c r="U17" s="638"/>
    </row>
    <row r="18" spans="1:21">
      <c r="A18" s="1"/>
      <c r="D18" s="1316"/>
      <c r="E18" s="1316"/>
      <c r="F18" s="1316"/>
      <c r="G18" s="1316"/>
      <c r="K18" s="107"/>
      <c r="L18" s="107"/>
      <c r="M18" s="107"/>
      <c r="O18" s="107"/>
      <c r="Q18" s="172"/>
      <c r="S18" s="107"/>
    </row>
    <row r="19" spans="1:21">
      <c r="A19" s="1"/>
      <c r="D19" s="1316"/>
      <c r="E19" s="1316"/>
      <c r="F19" s="1316"/>
      <c r="G19" s="1316"/>
      <c r="K19" s="107"/>
      <c r="L19" s="107"/>
      <c r="M19" s="107"/>
      <c r="O19" s="107"/>
      <c r="Q19" s="172"/>
      <c r="S19" s="107"/>
    </row>
    <row r="20" spans="1:21">
      <c r="A20" s="1"/>
      <c r="K20" s="107"/>
      <c r="L20" s="107"/>
      <c r="M20" s="107"/>
      <c r="O20" s="107"/>
      <c r="Q20" s="172"/>
      <c r="S20" s="107"/>
    </row>
    <row r="21" spans="1:21">
      <c r="A21" s="1"/>
      <c r="K21" s="107"/>
      <c r="L21" s="107"/>
      <c r="M21" s="107"/>
      <c r="O21" s="107"/>
      <c r="Q21" s="172"/>
      <c r="S21" s="107"/>
    </row>
    <row r="22" spans="1:21" ht="12" customHeight="1">
      <c r="A22" s="1">
        <f>+A17+1</f>
        <v>2</v>
      </c>
      <c r="B22" s="636"/>
      <c r="D22" s="1316"/>
      <c r="E22" s="1316"/>
      <c r="F22" s="1316"/>
      <c r="G22" s="1316"/>
      <c r="I22" s="637"/>
      <c r="K22" s="635"/>
      <c r="L22" s="107"/>
      <c r="M22" s="635"/>
      <c r="O22" s="137">
        <f>+K22-M22</f>
        <v>0</v>
      </c>
      <c r="Q22" s="172">
        <f>IF(I22="G",TCOS!L257,IF(I22="T",1,0))</f>
        <v>0</v>
      </c>
      <c r="S22" s="137">
        <f>ROUND(O22*Q22,0)</f>
        <v>0</v>
      </c>
      <c r="U22" s="638"/>
    </row>
    <row r="23" spans="1:21">
      <c r="A23" s="1"/>
      <c r="D23" s="1316"/>
      <c r="E23" s="1316"/>
      <c r="F23" s="1316"/>
      <c r="G23" s="1316"/>
      <c r="K23" s="107"/>
      <c r="L23" s="107"/>
      <c r="M23" s="107"/>
      <c r="O23" s="107"/>
      <c r="Q23" s="172"/>
      <c r="S23" s="107"/>
    </row>
    <row r="24" spans="1:21">
      <c r="A24" s="1"/>
      <c r="D24" s="1316"/>
      <c r="E24" s="1316"/>
      <c r="F24" s="1316"/>
      <c r="G24" s="1316"/>
      <c r="K24" s="107"/>
      <c r="L24" s="107"/>
      <c r="M24" s="107"/>
      <c r="O24" s="107"/>
      <c r="Q24" s="172"/>
      <c r="S24" s="107"/>
    </row>
    <row r="25" spans="1:21">
      <c r="A25" s="1"/>
      <c r="I25" s="1"/>
      <c r="K25" s="107"/>
      <c r="L25" s="107"/>
      <c r="M25" s="107"/>
      <c r="O25" s="107"/>
      <c r="Q25" s="172"/>
      <c r="S25" s="107"/>
    </row>
    <row r="26" spans="1:21">
      <c r="A26" s="1"/>
      <c r="I26" s="1"/>
      <c r="K26" s="107"/>
      <c r="L26" s="107"/>
      <c r="M26" s="107"/>
      <c r="O26" s="107"/>
      <c r="Q26" s="172"/>
      <c r="S26" s="107"/>
    </row>
    <row r="27" spans="1:21">
      <c r="A27" s="1">
        <f>+A22+1</f>
        <v>3</v>
      </c>
      <c r="B27" s="636"/>
      <c r="D27" s="1316"/>
      <c r="E27" s="1316"/>
      <c r="F27" s="1316"/>
      <c r="G27" s="1316"/>
      <c r="I27" s="637"/>
      <c r="K27" s="635"/>
      <c r="L27" s="107"/>
      <c r="M27" s="635"/>
      <c r="O27" s="137">
        <f>+K27-M27</f>
        <v>0</v>
      </c>
      <c r="Q27" s="172">
        <f>IF(I27="G",TCOS!L257,IF(I27="T",1,0))</f>
        <v>0</v>
      </c>
      <c r="S27" s="137">
        <f>ROUND(O27*Q27,0)</f>
        <v>0</v>
      </c>
      <c r="U27" s="638"/>
    </row>
    <row r="28" spans="1:21">
      <c r="A28" s="1"/>
      <c r="D28" s="1316"/>
      <c r="E28" s="1316"/>
      <c r="F28" s="1316"/>
      <c r="G28" s="1316"/>
      <c r="K28" s="107"/>
      <c r="L28" s="107"/>
      <c r="M28" s="107"/>
      <c r="O28" s="107"/>
      <c r="Q28" s="172"/>
      <c r="S28" s="107"/>
    </row>
    <row r="29" spans="1:21">
      <c r="A29" s="1"/>
      <c r="D29" s="1316"/>
      <c r="E29" s="1316"/>
      <c r="F29" s="1316"/>
      <c r="G29" s="1316"/>
      <c r="K29" s="107"/>
      <c r="L29" s="107"/>
      <c r="M29" s="107"/>
      <c r="O29" s="107"/>
      <c r="Q29" s="172"/>
    </row>
    <row r="30" spans="1:21">
      <c r="A30" s="1"/>
      <c r="O30" s="107"/>
      <c r="Q30" s="172"/>
    </row>
    <row r="31" spans="1:21">
      <c r="A31" s="1"/>
      <c r="O31" s="107"/>
      <c r="Q31" s="172"/>
    </row>
    <row r="32" spans="1:21">
      <c r="A32" s="1"/>
      <c r="O32" s="107"/>
      <c r="Q32" s="172"/>
    </row>
    <row r="33" spans="1:19" ht="13.5" thickBot="1">
      <c r="A33" s="1">
        <f>+A27+1</f>
        <v>4</v>
      </c>
      <c r="K33" t="str">
        <f>"Net (Gain) or Loss for "&amp;TCOS!L4&amp;""</f>
        <v>Net (Gain) or Loss for 2026</v>
      </c>
      <c r="O33" s="182">
        <f>SUM(O17:O27)</f>
        <v>0</v>
      </c>
      <c r="Q33" s="183"/>
      <c r="S33" s="182">
        <f>SUM(S17:S27)</f>
        <v>0</v>
      </c>
    </row>
    <row r="34" spans="1:19" ht="13.5" thickTop="1">
      <c r="A34" s="1"/>
      <c r="O34" s="107"/>
      <c r="Q34" s="183"/>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93" type="noConversion"/>
  <pageMargins left="0.75" right="0.75" top="1" bottom="1" header="0.75" footer="0.5"/>
  <pageSetup scale="75"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Q182"/>
  <sheetViews>
    <sheetView view="pageBreakPreview" zoomScaleNormal="75" zoomScaleSheetLayoutView="100" workbookViewId="0">
      <selection activeCell="E13" sqref="E13"/>
    </sheetView>
  </sheetViews>
  <sheetFormatPr defaultRowHeight="12.75"/>
  <cols>
    <col min="1" max="1" width="8.140625" style="861" customWidth="1"/>
    <col min="2" max="2" width="28.85546875" style="861" customWidth="1"/>
    <col min="3" max="3" width="17.85546875" style="861" customWidth="1"/>
    <col min="4" max="4" width="19.28515625" style="861" customWidth="1"/>
    <col min="5" max="6" width="19.85546875" style="861" customWidth="1"/>
    <col min="7" max="7" width="21.42578125" style="861" customWidth="1"/>
    <col min="8" max="9" width="19.85546875" style="861" customWidth="1"/>
    <col min="10" max="10" width="21.28515625" style="861" customWidth="1"/>
    <col min="11" max="11" width="18.140625" style="861" customWidth="1"/>
    <col min="12" max="12" width="22.42578125" style="861" customWidth="1"/>
    <col min="13" max="13" width="22.140625" style="861" customWidth="1"/>
    <col min="14" max="14" width="11.140625" style="861" customWidth="1"/>
    <col min="15" max="15" width="11.28515625" style="861" bestFit="1" customWidth="1"/>
    <col min="16" max="16" width="12.42578125" style="861" customWidth="1"/>
    <col min="17" max="17" width="9.140625" style="861"/>
    <col min="18" max="18" width="10.28515625" style="861" bestFit="1" customWidth="1"/>
    <col min="19" max="19" width="9.140625" style="861"/>
    <col min="20" max="20" width="12.85546875" style="861" customWidth="1"/>
    <col min="21" max="21" width="13.5703125" style="861" customWidth="1"/>
    <col min="22" max="16384" width="9.140625" style="861"/>
  </cols>
  <sheetData>
    <row r="1" spans="1:17" ht="15.75">
      <c r="A1" s="860" t="s">
        <v>114</v>
      </c>
    </row>
    <row r="2" spans="1:17" ht="15.75">
      <c r="A2" s="860" t="s">
        <v>114</v>
      </c>
    </row>
    <row r="3" spans="1:17" ht="15.75">
      <c r="A3" s="1324" t="s">
        <v>387</v>
      </c>
      <c r="B3" s="1324"/>
      <c r="C3" s="1324"/>
      <c r="D3" s="1324"/>
      <c r="E3" s="1324"/>
      <c r="F3" s="1324"/>
      <c r="G3" s="1324"/>
      <c r="H3" s="1324"/>
      <c r="I3" s="1324"/>
      <c r="J3" s="1324"/>
      <c r="K3" s="1324"/>
      <c r="L3" s="862"/>
      <c r="M3" s="862"/>
      <c r="N3" s="863"/>
      <c r="O3" s="863"/>
      <c r="P3" s="863"/>
      <c r="Q3" s="863"/>
    </row>
    <row r="4" spans="1:17" ht="15.75">
      <c r="A4" s="1325" t="str">
        <f>"Cost of Service Formula Rate Using Actual/Projected FF1 Balances"</f>
        <v>Cost of Service Formula Rate Using Actual/Projected FF1 Balances</v>
      </c>
      <c r="B4" s="1326"/>
      <c r="C4" s="1326"/>
      <c r="D4" s="1326"/>
      <c r="E4" s="1326"/>
      <c r="F4" s="1326"/>
      <c r="G4" s="1326"/>
      <c r="H4" s="1326"/>
      <c r="I4" s="1326"/>
      <c r="J4" s="1326"/>
      <c r="K4" s="1326"/>
      <c r="L4" s="864"/>
      <c r="M4" s="866"/>
      <c r="N4" s="867"/>
      <c r="O4" s="867"/>
      <c r="P4" s="867"/>
      <c r="Q4" s="867"/>
    </row>
    <row r="5" spans="1:17" ht="15.75">
      <c r="A5" s="1325" t="s">
        <v>844</v>
      </c>
      <c r="B5" s="1325"/>
      <c r="C5" s="1325"/>
      <c r="D5" s="1325"/>
      <c r="E5" s="1325"/>
      <c r="F5" s="1325"/>
      <c r="G5" s="1325"/>
      <c r="H5" s="1325"/>
      <c r="I5" s="1325"/>
      <c r="J5" s="1325"/>
      <c r="K5" s="1325"/>
      <c r="L5" s="864"/>
      <c r="M5" s="868"/>
      <c r="N5" s="868"/>
      <c r="O5" s="868"/>
      <c r="P5" s="868"/>
      <c r="Q5" s="868"/>
    </row>
    <row r="6" spans="1:17" ht="15.75">
      <c r="A6" s="1327" t="str">
        <f>TCOS!F9</f>
        <v>WHEELING POWER COMPANY</v>
      </c>
      <c r="B6" s="1327"/>
      <c r="C6" s="1327"/>
      <c r="D6" s="1327"/>
      <c r="E6" s="1327"/>
      <c r="F6" s="1327"/>
      <c r="G6" s="1327"/>
      <c r="H6" s="1327"/>
      <c r="I6" s="1327"/>
      <c r="J6" s="1327"/>
      <c r="K6" s="1327"/>
      <c r="L6" s="869"/>
      <c r="M6" s="869"/>
      <c r="N6" s="870"/>
      <c r="O6" s="870"/>
      <c r="P6" s="870"/>
      <c r="Q6" s="870"/>
    </row>
    <row r="9" spans="1:17">
      <c r="B9" s="1320"/>
      <c r="C9" s="1320"/>
      <c r="D9" s="1320"/>
      <c r="E9" s="1320"/>
      <c r="F9" s="1320"/>
      <c r="G9" s="1320"/>
      <c r="H9" s="1320"/>
      <c r="I9" s="1320"/>
      <c r="J9" s="1320"/>
      <c r="K9" s="1320"/>
      <c r="L9" s="1320"/>
      <c r="M9" s="1320"/>
      <c r="N9" s="872"/>
      <c r="O9" s="872"/>
      <c r="P9" s="872"/>
      <c r="Q9" s="872"/>
    </row>
    <row r="10" spans="1:17">
      <c r="I10" s="872"/>
      <c r="J10" s="872"/>
      <c r="K10" s="872"/>
      <c r="L10" s="872"/>
      <c r="M10" s="872"/>
      <c r="N10" s="872"/>
      <c r="O10" s="872"/>
      <c r="P10" s="872"/>
      <c r="Q10" s="872"/>
    </row>
    <row r="11" spans="1:17">
      <c r="I11" s="872"/>
      <c r="J11" s="872"/>
      <c r="K11" s="872"/>
      <c r="L11" s="872"/>
      <c r="M11" s="872"/>
      <c r="N11" s="872"/>
      <c r="O11" s="872"/>
      <c r="P11" s="872"/>
      <c r="Q11" s="872"/>
    </row>
    <row r="12" spans="1:17">
      <c r="A12" s="865">
        <v>1</v>
      </c>
      <c r="B12" s="861" t="s">
        <v>818</v>
      </c>
      <c r="E12" s="894">
        <v>-200905524.64715412</v>
      </c>
      <c r="J12" s="872"/>
      <c r="K12" s="872"/>
      <c r="L12" s="872"/>
      <c r="M12" s="872"/>
      <c r="N12" s="872"/>
      <c r="O12" s="872"/>
      <c r="P12" s="872"/>
      <c r="Q12" s="872"/>
    </row>
    <row r="13" spans="1:17">
      <c r="J13" s="872"/>
      <c r="K13" s="872"/>
      <c r="L13" s="872"/>
      <c r="M13" s="872"/>
      <c r="N13" s="872"/>
      <c r="O13" s="872"/>
      <c r="P13" s="872"/>
      <c r="Q13" s="872"/>
    </row>
    <row r="14" spans="1:17">
      <c r="B14" s="1323" t="str">
        <f>"Allocation of PBOP Settlement Amount for "&amp;TCOS!L4&amp;""</f>
        <v>Allocation of PBOP Settlement Amount for 2026</v>
      </c>
      <c r="C14" s="1323"/>
      <c r="D14" s="873"/>
      <c r="E14" s="873"/>
      <c r="F14" s="873"/>
      <c r="G14" s="873"/>
      <c r="H14" s="873"/>
      <c r="I14" s="873"/>
      <c r="J14" s="873"/>
      <c r="K14" s="873"/>
      <c r="L14" s="873"/>
      <c r="M14" s="873"/>
      <c r="N14" s="872"/>
      <c r="O14" s="872"/>
      <c r="P14" s="872"/>
      <c r="Q14" s="872"/>
    </row>
    <row r="15" spans="1:17">
      <c r="C15" s="1320" t="s">
        <v>819</v>
      </c>
      <c r="D15" s="1320"/>
      <c r="E15" s="1320"/>
      <c r="F15" s="871"/>
      <c r="N15" s="872"/>
      <c r="O15" s="872"/>
      <c r="P15" s="872"/>
      <c r="Q15" s="872"/>
    </row>
    <row r="16" spans="1:17">
      <c r="C16" s="1321" t="s">
        <v>820</v>
      </c>
      <c r="D16" s="1321" t="s">
        <v>821</v>
      </c>
      <c r="E16" s="1321" t="s">
        <v>822</v>
      </c>
      <c r="F16" s="891"/>
      <c r="G16" s="891"/>
      <c r="H16" s="891"/>
      <c r="I16" s="1321" t="s">
        <v>823</v>
      </c>
      <c r="N16" s="872"/>
      <c r="O16" s="872"/>
      <c r="P16" s="872"/>
      <c r="Q16" s="872"/>
    </row>
    <row r="17" spans="1:17" ht="12.75" customHeight="1">
      <c r="C17" s="1318"/>
      <c r="D17" s="1318"/>
      <c r="E17" s="1318"/>
      <c r="F17" s="1321" t="str">
        <f>"Labor Allocator for "&amp;TCOS!L4&amp;""</f>
        <v>Labor Allocator for 2026</v>
      </c>
      <c r="G17" s="893"/>
      <c r="H17" s="1322" t="s">
        <v>824</v>
      </c>
      <c r="I17" s="1321"/>
      <c r="N17" s="872"/>
      <c r="O17" s="872"/>
      <c r="P17" s="872"/>
      <c r="Q17" s="872"/>
    </row>
    <row r="18" spans="1:17">
      <c r="A18" s="874" t="s">
        <v>825</v>
      </c>
      <c r="B18" s="871" t="s">
        <v>183</v>
      </c>
      <c r="C18" s="1318"/>
      <c r="D18" s="1318"/>
      <c r="E18" s="1318"/>
      <c r="F18" s="1321"/>
      <c r="G18" s="896" t="s">
        <v>826</v>
      </c>
      <c r="H18" s="1322"/>
      <c r="I18" s="1321"/>
      <c r="N18" s="872"/>
      <c r="O18" s="872"/>
      <c r="P18" s="872"/>
      <c r="Q18" s="872"/>
    </row>
    <row r="19" spans="1:17">
      <c r="B19" s="871"/>
      <c r="C19" s="881"/>
      <c r="D19" s="881"/>
      <c r="E19" s="881"/>
      <c r="F19" s="891"/>
      <c r="G19" s="893"/>
      <c r="H19" s="893"/>
      <c r="I19" s="881"/>
      <c r="N19" s="872"/>
      <c r="O19" s="872"/>
      <c r="P19" s="872"/>
      <c r="Q19" s="872"/>
    </row>
    <row r="20" spans="1:17" ht="25.5">
      <c r="B20" s="871"/>
      <c r="C20" s="891" t="s">
        <v>162</v>
      </c>
      <c r="D20" s="891" t="s">
        <v>827</v>
      </c>
      <c r="E20" s="892" t="str">
        <f>"(C )=(B) * "&amp;E12&amp;""</f>
        <v>(C )=(B) * -200905524.647154</v>
      </c>
      <c r="F20" s="891" t="s">
        <v>165</v>
      </c>
      <c r="G20" s="897" t="s">
        <v>828</v>
      </c>
      <c r="H20" s="897" t="s">
        <v>829</v>
      </c>
      <c r="I20" s="892" t="s">
        <v>830</v>
      </c>
      <c r="N20" s="872"/>
      <c r="O20" s="872"/>
      <c r="P20" s="872"/>
      <c r="Q20" s="872"/>
    </row>
    <row r="21" spans="1:17">
      <c r="B21" s="871"/>
      <c r="C21" s="891" t="str">
        <f>"(Line "&amp;A47&amp;")"</f>
        <v>(Line 14)</v>
      </c>
      <c r="D21" s="891"/>
      <c r="E21" s="892"/>
      <c r="F21" s="891"/>
      <c r="G21" s="893"/>
      <c r="H21" s="895"/>
      <c r="I21" s="892"/>
      <c r="N21" s="872"/>
      <c r="O21" s="872"/>
      <c r="P21" s="872"/>
      <c r="Q21" s="872"/>
    </row>
    <row r="22" spans="1:17">
      <c r="A22" s="861">
        <v>2</v>
      </c>
      <c r="B22" s="861" t="s">
        <v>831</v>
      </c>
      <c r="C22" s="961">
        <v>-13734373.967536405</v>
      </c>
      <c r="D22" s="1025">
        <f t="shared" ref="D22:D27" si="0">+C22/C$28</f>
        <v>0.35553765030296386</v>
      </c>
      <c r="E22" s="880">
        <f t="shared" ref="E22:E27" si="1">ROUND(D22*E$28,0)</f>
        <v>-71429478</v>
      </c>
      <c r="F22" s="963">
        <v>0.1066651178128623</v>
      </c>
      <c r="G22" s="1026">
        <f t="shared" ref="G22:G27" si="2">+C22*F22</f>
        <v>-1464978.6173331796</v>
      </c>
      <c r="H22" s="1026">
        <f t="shared" ref="H22:H27" si="3">+F22*E22</f>
        <v>-7619033.6861812556</v>
      </c>
      <c r="I22" s="880">
        <f t="shared" ref="I22:I27" si="4">+G22-H22</f>
        <v>6154055.0688480763</v>
      </c>
      <c r="N22" s="872"/>
      <c r="O22" s="872"/>
      <c r="P22" s="872"/>
      <c r="Q22" s="872"/>
    </row>
    <row r="23" spans="1:17">
      <c r="A23" s="861">
        <f t="shared" ref="A23:A28" si="5">+A22+1</f>
        <v>3</v>
      </c>
      <c r="B23" s="861" t="s">
        <v>832</v>
      </c>
      <c r="C23" s="961">
        <v>-9841017.7861267738</v>
      </c>
      <c r="D23" s="1025">
        <f t="shared" si="0"/>
        <v>0.25475149785052731</v>
      </c>
      <c r="E23" s="880">
        <f t="shared" si="1"/>
        <v>-51180983</v>
      </c>
      <c r="F23" s="963">
        <v>5.4251739672466846E-2</v>
      </c>
      <c r="G23" s="1026">
        <f t="shared" si="2"/>
        <v>-533892.33504506573</v>
      </c>
      <c r="H23" s="1026">
        <f t="shared" si="3"/>
        <v>-2776657.3658969514</v>
      </c>
      <c r="I23" s="880">
        <f t="shared" si="4"/>
        <v>2242765.0308518857</v>
      </c>
      <c r="N23" s="872"/>
      <c r="O23" s="872"/>
      <c r="P23" s="872"/>
      <c r="Q23" s="872"/>
    </row>
    <row r="24" spans="1:17">
      <c r="A24" s="861">
        <f t="shared" si="5"/>
        <v>4</v>
      </c>
      <c r="B24" s="861" t="s">
        <v>833</v>
      </c>
      <c r="C24" s="961">
        <v>-3258730.4032220743</v>
      </c>
      <c r="D24" s="1025">
        <f t="shared" si="0"/>
        <v>8.4357783854652799E-2</v>
      </c>
      <c r="E24" s="880">
        <f t="shared" si="1"/>
        <v>-16947945</v>
      </c>
      <c r="F24" s="963">
        <v>9.7159094898712481E-2</v>
      </c>
      <c r="G24" s="1026">
        <f t="shared" si="2"/>
        <v>-316615.29649597307</v>
      </c>
      <c r="H24" s="1026">
        <f t="shared" si="3"/>
        <v>-1646646.9965931596</v>
      </c>
      <c r="I24" s="880">
        <f t="shared" si="4"/>
        <v>1330031.7000971865</v>
      </c>
      <c r="N24" s="872"/>
      <c r="O24" s="872"/>
      <c r="P24" s="872"/>
      <c r="Q24" s="872"/>
    </row>
    <row r="25" spans="1:17">
      <c r="A25" s="861">
        <f t="shared" si="5"/>
        <v>5</v>
      </c>
      <c r="B25" s="861" t="s">
        <v>834</v>
      </c>
      <c r="C25" s="961">
        <v>-325117.27616654808</v>
      </c>
      <c r="D25" s="1025">
        <f t="shared" si="0"/>
        <v>8.416214143751646E-3</v>
      </c>
      <c r="E25" s="880">
        <f t="shared" si="1"/>
        <v>-1690864</v>
      </c>
      <c r="F25" s="963">
        <v>8.299430354565529E-2</v>
      </c>
      <c r="G25" s="1026">
        <f t="shared" si="2"/>
        <v>-26982.881906103132</v>
      </c>
      <c r="H25" s="1026">
        <f t="shared" si="3"/>
        <v>-140332.0800704209</v>
      </c>
      <c r="I25" s="880">
        <f t="shared" si="4"/>
        <v>113349.19816431776</v>
      </c>
      <c r="N25" s="872"/>
      <c r="O25" s="872"/>
      <c r="P25" s="872"/>
      <c r="Q25" s="872"/>
    </row>
    <row r="26" spans="1:17">
      <c r="A26" s="861">
        <f t="shared" si="5"/>
        <v>6</v>
      </c>
      <c r="B26" s="861" t="s">
        <v>835</v>
      </c>
      <c r="C26" s="961">
        <v>-10652552.026077839</v>
      </c>
      <c r="D26" s="1025">
        <f t="shared" si="0"/>
        <v>0.27575944313398881</v>
      </c>
      <c r="E26" s="880">
        <f t="shared" si="1"/>
        <v>-55401596</v>
      </c>
      <c r="F26" s="963">
        <v>0.135208894420357</v>
      </c>
      <c r="G26" s="1026">
        <f t="shared" si="2"/>
        <v>-1440319.7822013185</v>
      </c>
      <c r="H26" s="1026">
        <f t="shared" si="3"/>
        <v>-7490788.5442832727</v>
      </c>
      <c r="I26" s="880">
        <f t="shared" si="4"/>
        <v>6050468.7620819546</v>
      </c>
      <c r="N26" s="872"/>
      <c r="O26" s="872"/>
      <c r="P26" s="872"/>
      <c r="Q26" s="872"/>
    </row>
    <row r="27" spans="1:17">
      <c r="A27" s="861">
        <f t="shared" si="5"/>
        <v>7</v>
      </c>
      <c r="B27" s="861" t="s">
        <v>836</v>
      </c>
      <c r="C27" s="962">
        <v>-818080.6678671788</v>
      </c>
      <c r="D27" s="1025">
        <f t="shared" si="0"/>
        <v>2.1177410714115621E-2</v>
      </c>
      <c r="E27" s="898">
        <f t="shared" si="1"/>
        <v>-4254659</v>
      </c>
      <c r="F27" s="1027">
        <v>2.6598278970881298E-2</v>
      </c>
      <c r="G27" s="1028">
        <f t="shared" si="2"/>
        <v>-21759.537824616109</v>
      </c>
      <c r="H27" s="1028">
        <f t="shared" si="3"/>
        <v>-113166.60700797086</v>
      </c>
      <c r="I27" s="898">
        <f t="shared" si="4"/>
        <v>91407.069183354746</v>
      </c>
      <c r="N27" s="872"/>
      <c r="O27" s="872"/>
      <c r="P27" s="872"/>
      <c r="Q27" s="872"/>
    </row>
    <row r="28" spans="1:17">
      <c r="A28" s="861">
        <f t="shared" si="5"/>
        <v>8</v>
      </c>
      <c r="B28" s="871" t="str">
        <f>"Sum of Lines "&amp;A22&amp;" to "&amp;A27&amp;""</f>
        <v>Sum of Lines 2 to 7</v>
      </c>
      <c r="C28" s="880">
        <f>SUM(C22:C27)</f>
        <v>-38629872.126996815</v>
      </c>
      <c r="E28" s="893">
        <f>+E12</f>
        <v>-200905524.64715412</v>
      </c>
      <c r="F28" s="893"/>
      <c r="G28" s="893">
        <f>SUM(G22:G27)</f>
        <v>-3804548.4508062564</v>
      </c>
      <c r="H28" s="893">
        <f>SUM(H22:H27)</f>
        <v>-19786625.280033026</v>
      </c>
      <c r="I28" s="893">
        <f>SUM(I22:I27)</f>
        <v>15982076.829226777</v>
      </c>
      <c r="N28" s="872"/>
      <c r="O28" s="872"/>
      <c r="P28" s="872"/>
      <c r="Q28" s="872"/>
    </row>
    <row r="29" spans="1:17">
      <c r="C29" s="880"/>
      <c r="N29" s="872"/>
      <c r="O29" s="872"/>
      <c r="P29" s="872"/>
      <c r="Q29" s="872"/>
    </row>
    <row r="30" spans="1:17">
      <c r="N30" s="872"/>
      <c r="O30" s="872"/>
      <c r="P30" s="872"/>
      <c r="Q30" s="872"/>
    </row>
    <row r="31" spans="1:17">
      <c r="J31" s="872"/>
      <c r="K31" s="872"/>
      <c r="L31" s="872"/>
      <c r="M31" s="872"/>
      <c r="N31" s="872"/>
      <c r="O31" s="872"/>
      <c r="P31" s="872"/>
      <c r="Q31" s="872"/>
    </row>
    <row r="32" spans="1:17">
      <c r="J32" s="872"/>
      <c r="K32" s="872"/>
      <c r="L32" s="872"/>
      <c r="M32" s="872"/>
      <c r="N32" s="872"/>
      <c r="O32" s="872"/>
      <c r="P32" s="872"/>
      <c r="Q32" s="872"/>
    </row>
    <row r="33" spans="1:17">
      <c r="B33" s="874" t="s">
        <v>845</v>
      </c>
      <c r="F33" s="875"/>
      <c r="J33" s="872"/>
      <c r="K33" s="872"/>
      <c r="L33" s="872"/>
      <c r="M33" s="872"/>
      <c r="N33" s="872"/>
      <c r="O33" s="872"/>
      <c r="P33" s="872"/>
      <c r="Q33" s="872"/>
    </row>
    <row r="34" spans="1:17">
      <c r="E34" s="875"/>
      <c r="I34" s="876"/>
      <c r="J34" s="872"/>
      <c r="K34" s="872"/>
      <c r="L34" s="872"/>
      <c r="M34" s="872"/>
      <c r="N34" s="872"/>
      <c r="O34" s="872"/>
      <c r="P34" s="872"/>
      <c r="Q34" s="872"/>
    </row>
    <row r="35" spans="1:17">
      <c r="D35" s="877" t="s">
        <v>831</v>
      </c>
      <c r="E35" s="878"/>
      <c r="F35" s="877" t="s">
        <v>832</v>
      </c>
      <c r="G35" s="877" t="s">
        <v>833</v>
      </c>
      <c r="H35" s="877" t="s">
        <v>837</v>
      </c>
      <c r="I35" s="879" t="s">
        <v>835</v>
      </c>
      <c r="J35" s="879" t="s">
        <v>836</v>
      </c>
      <c r="K35" s="879" t="s">
        <v>838</v>
      </c>
      <c r="L35" s="872"/>
      <c r="M35" s="872"/>
      <c r="N35" s="872"/>
      <c r="O35" s="872"/>
      <c r="P35" s="872"/>
      <c r="Q35" s="872"/>
    </row>
    <row r="36" spans="1:17">
      <c r="E36" s="872"/>
      <c r="I36" s="872"/>
      <c r="J36" s="872"/>
      <c r="K36" s="872"/>
      <c r="L36" s="872"/>
      <c r="M36" s="872"/>
      <c r="N36" s="872"/>
      <c r="O36" s="872"/>
      <c r="P36" s="872"/>
      <c r="Q36" s="872"/>
    </row>
    <row r="37" spans="1:17">
      <c r="A37" s="861">
        <f>+A28+1</f>
        <v>9</v>
      </c>
      <c r="B37" s="861" t="s">
        <v>839</v>
      </c>
      <c r="D37" s="950">
        <v>-10998000</v>
      </c>
      <c r="E37" s="949"/>
      <c r="F37" s="950">
        <v>-9013000</v>
      </c>
      <c r="G37" s="950">
        <v>-2507000</v>
      </c>
      <c r="H37" s="950">
        <v>-276000</v>
      </c>
      <c r="I37" s="950">
        <v>-7926000</v>
      </c>
      <c r="J37" s="950">
        <v>-597000</v>
      </c>
      <c r="K37" s="875">
        <f>SUM(D37:J37)</f>
        <v>-31317000</v>
      </c>
      <c r="L37" s="872" t="s">
        <v>114</v>
      </c>
      <c r="M37" s="872"/>
      <c r="N37" s="872"/>
      <c r="O37" s="872"/>
      <c r="P37" s="872"/>
      <c r="Q37" s="872"/>
    </row>
    <row r="38" spans="1:17">
      <c r="D38" s="880"/>
      <c r="E38" s="872"/>
      <c r="F38" s="880"/>
      <c r="G38" s="880"/>
      <c r="H38" s="880"/>
      <c r="I38" s="880"/>
      <c r="J38" s="880"/>
    </row>
    <row r="39" spans="1:17">
      <c r="A39" s="861">
        <f>+A37+1</f>
        <v>10</v>
      </c>
      <c r="B39" s="1318" t="s">
        <v>840</v>
      </c>
      <c r="C39" s="1318"/>
      <c r="D39" s="950">
        <v>854805.39000000805</v>
      </c>
      <c r="E39" s="949"/>
      <c r="F39" s="950">
        <v>1390817.4799999977</v>
      </c>
      <c r="G39" s="950">
        <v>-45453.439999999478</v>
      </c>
      <c r="H39" s="950">
        <v>27211.999999999767</v>
      </c>
      <c r="I39" s="950">
        <v>224400.91000000201</v>
      </c>
      <c r="J39" s="950">
        <v>205769.55999999959</v>
      </c>
      <c r="K39" s="875"/>
      <c r="L39" s="872"/>
      <c r="M39" s="872"/>
      <c r="N39" s="872"/>
      <c r="O39" s="872"/>
      <c r="P39" s="872"/>
      <c r="Q39" s="872"/>
    </row>
    <row r="40" spans="1:17">
      <c r="B40" s="1318"/>
      <c r="C40" s="1318"/>
      <c r="D40" s="875"/>
      <c r="E40" s="872"/>
      <c r="F40" s="875"/>
      <c r="G40" s="875"/>
      <c r="H40" s="875"/>
      <c r="I40" s="875"/>
      <c r="J40" s="875"/>
      <c r="L40" s="872"/>
      <c r="M40" s="872"/>
      <c r="N40" s="872"/>
      <c r="O40" s="872"/>
      <c r="P40" s="872"/>
      <c r="Q40" s="872"/>
    </row>
    <row r="41" spans="1:17">
      <c r="A41" s="861">
        <f>+A39+1</f>
        <v>11</v>
      </c>
      <c r="B41" s="861" t="s">
        <v>841</v>
      </c>
      <c r="D41" s="950">
        <v>0</v>
      </c>
      <c r="E41" s="949"/>
      <c r="F41" s="950">
        <v>0</v>
      </c>
      <c r="G41" s="950">
        <v>0</v>
      </c>
      <c r="H41" s="950">
        <v>0</v>
      </c>
      <c r="I41" s="950">
        <v>0</v>
      </c>
      <c r="J41" s="950">
        <v>0</v>
      </c>
      <c r="K41" s="875">
        <f>SUM(D41:J41)</f>
        <v>0</v>
      </c>
      <c r="L41" s="872"/>
      <c r="M41" s="872"/>
      <c r="N41" s="872"/>
      <c r="O41" s="872"/>
      <c r="P41" s="872"/>
      <c r="Q41" s="872"/>
    </row>
    <row r="42" spans="1:17">
      <c r="D42" s="882"/>
      <c r="E42" s="883"/>
      <c r="F42" s="882"/>
      <c r="G42" s="882"/>
      <c r="H42" s="882"/>
      <c r="I42" s="883"/>
      <c r="J42" s="883"/>
      <c r="K42" s="882"/>
      <c r="L42" s="872"/>
      <c r="M42" s="872"/>
      <c r="N42" s="872"/>
      <c r="O42" s="872"/>
      <c r="P42" s="872"/>
      <c r="Q42" s="872"/>
    </row>
    <row r="43" spans="1:17">
      <c r="A43" s="861">
        <f>+A41+1</f>
        <v>12</v>
      </c>
      <c r="B43" s="861" t="str">
        <f>"Net Company Expense (Ln "&amp;A37&amp;" + Ln "&amp;A39&amp;" + Ln  "&amp;A41&amp;")"</f>
        <v>Net Company Expense (Ln 9 + Ln 10 + Ln  11)</v>
      </c>
      <c r="D43" s="875">
        <f t="shared" ref="D43:J43" si="6">+D37+D41+D39</f>
        <v>-10143194.609999992</v>
      </c>
      <c r="E43" s="876"/>
      <c r="F43" s="875">
        <f t="shared" si="6"/>
        <v>-7622182.5200000023</v>
      </c>
      <c r="G43" s="875">
        <f t="shared" si="6"/>
        <v>-2552453.4399999995</v>
      </c>
      <c r="H43" s="875">
        <f t="shared" si="6"/>
        <v>-248788.00000000023</v>
      </c>
      <c r="I43" s="875">
        <f t="shared" si="6"/>
        <v>-7701599.089999998</v>
      </c>
      <c r="J43" s="875">
        <f t="shared" si="6"/>
        <v>-391230.44000000041</v>
      </c>
      <c r="K43" s="875">
        <f>SUM(D43:J43)</f>
        <v>-28659448.09999999</v>
      </c>
      <c r="L43" s="872"/>
      <c r="M43" s="872"/>
      <c r="N43" s="872"/>
      <c r="O43" s="872"/>
      <c r="P43" s="872"/>
      <c r="Q43" s="872"/>
    </row>
    <row r="44" spans="1:17">
      <c r="E44" s="872"/>
      <c r="G44" s="875">
        <f>+G40+G42</f>
        <v>0</v>
      </c>
      <c r="I44" s="872"/>
      <c r="J44" s="872"/>
      <c r="L44" s="884"/>
      <c r="M44" s="872"/>
      <c r="N44" s="872"/>
      <c r="O44" s="872"/>
      <c r="P44" s="872"/>
      <c r="Q44" s="872"/>
    </row>
    <row r="45" spans="1:17">
      <c r="A45" s="861">
        <f>+A43+1</f>
        <v>13</v>
      </c>
      <c r="B45" s="1318" t="s">
        <v>842</v>
      </c>
      <c r="C45" s="1318"/>
      <c r="D45" s="950">
        <v>-3280232.3575364132</v>
      </c>
      <c r="E45" s="949"/>
      <c r="F45" s="950">
        <v>-1827312.2661267724</v>
      </c>
      <c r="G45" s="950">
        <v>-533566.96322207467</v>
      </c>
      <c r="H45" s="950">
        <v>-83685.276166547861</v>
      </c>
      <c r="I45" s="950">
        <v>-2783594.9360778411</v>
      </c>
      <c r="J45" s="950">
        <v>-393788.22786717844</v>
      </c>
      <c r="K45" s="875">
        <f>SUM(D45:J45)</f>
        <v>-8902180.0269968268</v>
      </c>
      <c r="L45" s="885" t="s">
        <v>114</v>
      </c>
      <c r="M45" s="872"/>
      <c r="N45" s="872"/>
      <c r="O45" s="872"/>
      <c r="P45" s="872"/>
      <c r="Q45" s="872"/>
    </row>
    <row r="46" spans="1:17">
      <c r="B46" s="1318"/>
      <c r="C46" s="1318"/>
      <c r="E46" s="872"/>
      <c r="I46" s="872"/>
      <c r="J46" s="872"/>
      <c r="L46" s="872"/>
      <c r="M46" s="872"/>
      <c r="N46" s="872"/>
      <c r="O46" s="872"/>
      <c r="P46" s="872"/>
      <c r="Q46" s="872"/>
    </row>
    <row r="47" spans="1:17" ht="13.5" thickBot="1">
      <c r="A47" s="861">
        <f>+A45+1</f>
        <v>14</v>
      </c>
      <c r="B47" s="861" t="str">
        <f>"Company PBOP Expense (Ln "&amp;A43&amp;" + Ln  "&amp;A45&amp;")"</f>
        <v>Company PBOP Expense (Ln 12 + Ln  13)</v>
      </c>
      <c r="D47" s="886">
        <f>+D45+D41+D39+D37</f>
        <v>-13423426.967536405</v>
      </c>
      <c r="E47" s="887"/>
      <c r="F47" s="886">
        <f>+F45+F41+F39+F37</f>
        <v>-9449494.7861267738</v>
      </c>
      <c r="G47" s="886">
        <f>+G45+G41+G39+G37</f>
        <v>-3086020.4032220743</v>
      </c>
      <c r="H47" s="886">
        <f>+H45+H41+H39+H37</f>
        <v>-332473.27616654808</v>
      </c>
      <c r="I47" s="886">
        <f>+I45+I41+I39+I37</f>
        <v>-10485194.026077839</v>
      </c>
      <c r="J47" s="886">
        <f>+J45+J41+J39+J37</f>
        <v>-785018.6678671788</v>
      </c>
      <c r="K47" s="888">
        <f>SUM(D47:J47)</f>
        <v>-37561628.126996815</v>
      </c>
      <c r="L47" s="872"/>
      <c r="M47" s="872"/>
      <c r="N47" s="872"/>
      <c r="O47" s="872"/>
      <c r="P47" s="872"/>
      <c r="Q47" s="872"/>
    </row>
    <row r="48" spans="1:17" ht="13.5" thickTop="1">
      <c r="I48" s="872"/>
      <c r="J48" s="872"/>
      <c r="K48" s="872"/>
      <c r="L48" s="872"/>
      <c r="M48" s="872"/>
      <c r="N48" s="872"/>
      <c r="O48" s="872"/>
      <c r="P48" s="872"/>
      <c r="Q48" s="872"/>
    </row>
    <row r="49" spans="1:17">
      <c r="A49" s="1319" t="s">
        <v>843</v>
      </c>
      <c r="B49" s="1319"/>
      <c r="C49" s="1319"/>
      <c r="D49" s="1319"/>
      <c r="E49" s="1319"/>
      <c r="F49" s="1319"/>
      <c r="G49" s="1319"/>
      <c r="H49" s="1319"/>
      <c r="I49" s="1319"/>
      <c r="J49" s="1319"/>
      <c r="K49" s="1319"/>
      <c r="L49" s="889"/>
      <c r="M49" s="872"/>
      <c r="N49" s="872"/>
      <c r="O49" s="872"/>
      <c r="P49" s="872"/>
      <c r="Q49" s="872"/>
    </row>
    <row r="50" spans="1:17">
      <c r="A50" s="1319"/>
      <c r="B50" s="1319"/>
      <c r="C50" s="1319"/>
      <c r="D50" s="1319"/>
      <c r="E50" s="1319"/>
      <c r="F50" s="1319"/>
      <c r="G50" s="1319"/>
      <c r="H50" s="1319"/>
      <c r="I50" s="1319"/>
      <c r="J50" s="1319"/>
      <c r="K50" s="1319"/>
      <c r="L50" s="872"/>
      <c r="M50" s="872"/>
      <c r="N50" s="872"/>
      <c r="O50" s="872"/>
      <c r="P50" s="872"/>
      <c r="Q50" s="872"/>
    </row>
    <row r="51" spans="1:17">
      <c r="A51" s="1319"/>
      <c r="B51" s="1319"/>
      <c r="C51" s="1319"/>
      <c r="D51" s="1319"/>
      <c r="E51" s="1319"/>
      <c r="F51" s="1319"/>
      <c r="G51" s="1319"/>
      <c r="H51" s="1319"/>
      <c r="I51" s="1319"/>
      <c r="J51" s="1319"/>
      <c r="K51" s="1319"/>
      <c r="L51" s="872"/>
      <c r="M51" s="872"/>
      <c r="N51" s="872"/>
      <c r="O51" s="872"/>
      <c r="P51" s="872"/>
      <c r="Q51" s="872"/>
    </row>
    <row r="52" spans="1:17">
      <c r="A52" s="1319"/>
      <c r="B52" s="1319"/>
      <c r="C52" s="1319"/>
      <c r="D52" s="1319"/>
      <c r="E52" s="1319"/>
      <c r="F52" s="1319"/>
      <c r="G52" s="1319"/>
      <c r="H52" s="1319"/>
      <c r="I52" s="1319"/>
      <c r="J52" s="1319"/>
      <c r="K52" s="1319"/>
      <c r="Q52" s="872"/>
    </row>
    <row r="53" spans="1:17">
      <c r="A53" s="1319"/>
      <c r="B53" s="1319"/>
      <c r="C53" s="1319"/>
      <c r="D53" s="1319"/>
      <c r="E53" s="1319"/>
      <c r="F53" s="1319"/>
      <c r="G53" s="1319"/>
      <c r="H53" s="1319"/>
      <c r="I53" s="1319"/>
      <c r="J53" s="1319"/>
      <c r="K53" s="1319"/>
      <c r="Q53" s="872"/>
    </row>
    <row r="54" spans="1:17">
      <c r="A54" s="1319"/>
      <c r="B54" s="1319"/>
      <c r="C54" s="1319"/>
      <c r="D54" s="1319"/>
      <c r="E54" s="1319"/>
      <c r="F54" s="1319"/>
      <c r="G54" s="1319"/>
      <c r="H54" s="1319"/>
      <c r="I54" s="1319"/>
      <c r="J54" s="1319"/>
      <c r="K54" s="1319"/>
      <c r="Q54" s="872"/>
    </row>
    <row r="55" spans="1:17">
      <c r="A55" s="1319"/>
      <c r="B55" s="1319"/>
      <c r="C55" s="1319"/>
      <c r="D55" s="1319"/>
      <c r="E55" s="1319"/>
      <c r="F55" s="1319"/>
      <c r="G55" s="1319"/>
      <c r="H55" s="1319"/>
      <c r="I55" s="1319"/>
      <c r="J55" s="1319"/>
      <c r="K55" s="1319"/>
      <c r="Q55" s="872"/>
    </row>
    <row r="56" spans="1:17">
      <c r="A56" s="1319"/>
      <c r="B56" s="1319"/>
      <c r="C56" s="1319"/>
      <c r="D56" s="1319"/>
      <c r="E56" s="1319"/>
      <c r="F56" s="1319"/>
      <c r="G56" s="1319"/>
      <c r="H56" s="1319"/>
      <c r="I56" s="1319"/>
      <c r="J56" s="1319"/>
      <c r="K56" s="1319"/>
      <c r="Q56" s="872"/>
    </row>
    <row r="57" spans="1:17">
      <c r="A57" s="1319"/>
      <c r="B57" s="1319"/>
      <c r="C57" s="1319"/>
      <c r="D57" s="1319"/>
      <c r="E57" s="1319"/>
      <c r="F57" s="1319"/>
      <c r="G57" s="1319"/>
      <c r="H57" s="1319"/>
      <c r="I57" s="1319"/>
      <c r="J57" s="1319"/>
      <c r="K57" s="1319"/>
      <c r="Q57" s="872"/>
    </row>
    <row r="58" spans="1:17">
      <c r="Q58" s="890"/>
    </row>
    <row r="59" spans="1:17" ht="12.75" customHeight="1">
      <c r="G59" s="882"/>
    </row>
    <row r="60" spans="1:17" ht="12.75" customHeight="1"/>
    <row r="61" spans="1:17" ht="12.75" customHeight="1"/>
    <row r="77" spans="13:13">
      <c r="M77" s="880"/>
    </row>
    <row r="78" spans="13:13">
      <c r="M78" s="891"/>
    </row>
    <row r="79" spans="13:13">
      <c r="M79" s="881"/>
    </row>
    <row r="80" spans="13:13" ht="12.75" customHeight="1">
      <c r="M80" s="881"/>
    </row>
    <row r="81" spans="13:13">
      <c r="M81" s="881"/>
    </row>
    <row r="82" spans="13:13">
      <c r="M82" s="881"/>
    </row>
    <row r="83" spans="13:13">
      <c r="M83" s="892"/>
    </row>
    <row r="84" spans="13:13">
      <c r="M84" s="892"/>
    </row>
    <row r="85" spans="13:13">
      <c r="M85" s="880"/>
    </row>
    <row r="86" spans="13:13">
      <c r="M86" s="880"/>
    </row>
    <row r="87" spans="13:13">
      <c r="M87" s="880"/>
    </row>
    <row r="88" spans="13:13">
      <c r="M88" s="880"/>
    </row>
    <row r="89" spans="13:13">
      <c r="M89" s="880"/>
    </row>
    <row r="90" spans="13:13">
      <c r="M90" s="880"/>
    </row>
    <row r="91" spans="13:13">
      <c r="M91" s="880"/>
    </row>
    <row r="92" spans="13:13">
      <c r="M92" s="893"/>
    </row>
    <row r="94" spans="13:13">
      <c r="M94" s="880"/>
    </row>
    <row r="99" spans="13:13">
      <c r="M99" s="880"/>
    </row>
    <row r="100" spans="13:13">
      <c r="M100" s="891"/>
    </row>
    <row r="101" spans="13:13">
      <c r="M101" s="881"/>
    </row>
    <row r="102" spans="13:13" ht="12.75" customHeight="1">
      <c r="M102" s="881"/>
    </row>
    <row r="103" spans="13:13">
      <c r="M103" s="881"/>
    </row>
    <row r="104" spans="13:13">
      <c r="M104" s="881"/>
    </row>
    <row r="105" spans="13:13">
      <c r="M105" s="892"/>
    </row>
    <row r="106" spans="13:13">
      <c r="M106" s="892"/>
    </row>
    <row r="107" spans="13:13">
      <c r="M107" s="880"/>
    </row>
    <row r="108" spans="13:13">
      <c r="M108" s="880"/>
    </row>
    <row r="109" spans="13:13">
      <c r="M109" s="880"/>
    </row>
    <row r="110" spans="13:13">
      <c r="M110" s="880"/>
    </row>
    <row r="111" spans="13:13">
      <c r="M111" s="880"/>
    </row>
    <row r="112" spans="13:13">
      <c r="M112" s="880"/>
    </row>
    <row r="113" spans="13:13">
      <c r="M113" s="880"/>
    </row>
    <row r="114" spans="13:13">
      <c r="M114" s="893"/>
    </row>
    <row r="116" spans="13:13">
      <c r="M116" s="880"/>
    </row>
    <row r="121" spans="13:13">
      <c r="M121" s="880"/>
    </row>
    <row r="122" spans="13:13">
      <c r="M122" s="891"/>
    </row>
    <row r="123" spans="13:13">
      <c r="M123" s="881"/>
    </row>
    <row r="124" spans="13:13" ht="12.75" customHeight="1">
      <c r="M124" s="881"/>
    </row>
    <row r="125" spans="13:13">
      <c r="M125" s="881"/>
    </row>
    <row r="126" spans="13:13">
      <c r="M126" s="881"/>
    </row>
    <row r="127" spans="13:13">
      <c r="M127" s="892"/>
    </row>
    <row r="128" spans="13:13">
      <c r="M128" s="892"/>
    </row>
    <row r="129" spans="13:13">
      <c r="M129" s="880"/>
    </row>
    <row r="130" spans="13:13">
      <c r="M130" s="880"/>
    </row>
    <row r="131" spans="13:13">
      <c r="M131" s="880"/>
    </row>
    <row r="132" spans="13:13">
      <c r="M132" s="880"/>
    </row>
    <row r="133" spans="13:13">
      <c r="M133" s="880"/>
    </row>
    <row r="134" spans="13:13">
      <c r="M134" s="880"/>
    </row>
    <row r="135" spans="13:13">
      <c r="M135" s="880"/>
    </row>
    <row r="136" spans="13:13">
      <c r="M136" s="893"/>
    </row>
    <row r="138" spans="13:13">
      <c r="M138" s="880"/>
    </row>
    <row r="143" spans="13:13">
      <c r="M143" s="880"/>
    </row>
    <row r="144" spans="13:13">
      <c r="M144" s="891"/>
    </row>
    <row r="145" spans="13:13">
      <c r="M145" s="881"/>
    </row>
    <row r="146" spans="13:13" ht="12.75" customHeight="1">
      <c r="M146" s="881"/>
    </row>
    <row r="147" spans="13:13">
      <c r="M147" s="881"/>
    </row>
    <row r="148" spans="13:13">
      <c r="M148" s="881"/>
    </row>
    <row r="149" spans="13:13">
      <c r="M149" s="892"/>
    </row>
    <row r="150" spans="13:13">
      <c r="M150" s="892"/>
    </row>
    <row r="151" spans="13:13">
      <c r="M151" s="880"/>
    </row>
    <row r="152" spans="13:13">
      <c r="M152" s="880"/>
    </row>
    <row r="153" spans="13:13">
      <c r="M153" s="880"/>
    </row>
    <row r="154" spans="13:13">
      <c r="M154" s="880"/>
    </row>
    <row r="155" spans="13:13">
      <c r="M155" s="880"/>
    </row>
    <row r="156" spans="13:13">
      <c r="M156" s="880"/>
    </row>
    <row r="157" spans="13:13">
      <c r="M157" s="880"/>
    </row>
    <row r="158" spans="13:13">
      <c r="M158" s="893"/>
    </row>
    <row r="160" spans="13:13">
      <c r="M160" s="880"/>
    </row>
    <row r="165" spans="13:13">
      <c r="M165" s="880"/>
    </row>
    <row r="166" spans="13:13">
      <c r="M166" s="891"/>
    </row>
    <row r="167" spans="13:13" ht="12.75" customHeight="1">
      <c r="M167" s="881"/>
    </row>
    <row r="168" spans="13:13" ht="12.75" customHeight="1">
      <c r="M168" s="881"/>
    </row>
    <row r="169" spans="13:13">
      <c r="M169" s="881"/>
    </row>
    <row r="170" spans="13:13" ht="12.75" customHeight="1">
      <c r="M170" s="881"/>
    </row>
    <row r="171" spans="13:13">
      <c r="M171" s="892"/>
    </row>
    <row r="172" spans="13:13">
      <c r="M172" s="892"/>
    </row>
    <row r="173" spans="13:13">
      <c r="M173" s="880"/>
    </row>
    <row r="174" spans="13:13">
      <c r="M174" s="880"/>
    </row>
    <row r="175" spans="13:13">
      <c r="M175" s="880"/>
    </row>
    <row r="176" spans="13:13">
      <c r="M176" s="880"/>
    </row>
    <row r="177" spans="13:13">
      <c r="M177" s="880"/>
    </row>
    <row r="178" spans="13:13">
      <c r="M178" s="880"/>
    </row>
    <row r="179" spans="13:13">
      <c r="M179" s="880"/>
    </row>
    <row r="180" spans="13:13">
      <c r="M180" s="893"/>
    </row>
    <row r="182" spans="13:13">
      <c r="M182" s="880"/>
    </row>
  </sheetData>
  <mergeCells count="16">
    <mergeCell ref="B14:C14"/>
    <mergeCell ref="A3:K3"/>
    <mergeCell ref="A4:K4"/>
    <mergeCell ref="A5:K5"/>
    <mergeCell ref="A6:K6"/>
    <mergeCell ref="B9:M9"/>
    <mergeCell ref="B39:C40"/>
    <mergeCell ref="B45:C46"/>
    <mergeCell ref="A49:K57"/>
    <mergeCell ref="C15:E15"/>
    <mergeCell ref="C16:C18"/>
    <mergeCell ref="D16:D18"/>
    <mergeCell ref="E16:E18"/>
    <mergeCell ref="I16:I18"/>
    <mergeCell ref="F17:F18"/>
    <mergeCell ref="H17:H18"/>
  </mergeCells>
  <pageMargins left="0.32" right="0.25" top="1" bottom="0.43" header="0.75" footer="0.17"/>
  <pageSetup scale="63" orientation="landscape" r:id="rId1"/>
  <headerFooter alignWithMargins="0">
    <oddHeader>&amp;R&amp;"Arial,Bold"Formula Rate 
&amp;A
Page &amp;P of &amp;N</oddHeader>
  </headerFooter>
  <rowBreaks count="1" manualBreakCount="1">
    <brk id="137"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pageSetUpPr fitToPage="1"/>
  </sheetPr>
  <dimension ref="A1:S56"/>
  <sheetViews>
    <sheetView defaultGridColor="0" colorId="22" zoomScale="70" zoomScaleNormal="70" workbookViewId="0">
      <selection activeCell="A9" sqref="A9:O9"/>
    </sheetView>
  </sheetViews>
  <sheetFormatPr defaultColWidth="14.7109375" defaultRowHeight="12.75"/>
  <cols>
    <col min="1" max="1" width="33.140625" customWidth="1"/>
    <col min="2" max="2" width="11" customWidth="1"/>
    <col min="3" max="3" width="16.85546875" customWidth="1"/>
    <col min="4" max="4" width="16.7109375" customWidth="1"/>
    <col min="5" max="5" width="14.7109375" customWidth="1"/>
    <col min="6" max="6" width="4.85546875" customWidth="1"/>
    <col min="7" max="7" width="14.7109375" customWidth="1"/>
    <col min="8" max="8" width="18.28515625" customWidth="1"/>
    <col min="9" max="9" width="15.5703125" customWidth="1"/>
    <col min="10" max="10" width="6.140625" customWidth="1"/>
    <col min="11" max="11" width="14.7109375" customWidth="1"/>
    <col min="12" max="12" width="16.140625" customWidth="1"/>
    <col min="13" max="13" width="14.7109375" customWidth="1"/>
    <col min="14" max="14" width="4.85546875" customWidth="1"/>
    <col min="15" max="15" width="18.5703125" customWidth="1"/>
    <col min="257" max="257" width="33.140625" customWidth="1"/>
    <col min="258" max="258" width="11" customWidth="1"/>
    <col min="259" max="259" width="16.85546875" customWidth="1"/>
    <col min="260" max="260" width="16.7109375" customWidth="1"/>
    <col min="261" max="261" width="14.7109375" customWidth="1"/>
    <col min="262" max="262" width="4.85546875" customWidth="1"/>
    <col min="263" max="263" width="14.7109375" customWidth="1"/>
    <col min="264" max="264" width="18.28515625" customWidth="1"/>
    <col min="265" max="265" width="15.5703125" customWidth="1"/>
    <col min="266" max="266" width="6.140625" customWidth="1"/>
    <col min="267" max="267" width="14.7109375" customWidth="1"/>
    <col min="268" max="268" width="16.140625" customWidth="1"/>
    <col min="269" max="269" width="14.7109375" customWidth="1"/>
    <col min="270" max="270" width="4.85546875" customWidth="1"/>
    <col min="271" max="271" width="18.5703125" customWidth="1"/>
    <col min="513" max="513" width="33.140625" customWidth="1"/>
    <col min="514" max="514" width="11" customWidth="1"/>
    <col min="515" max="515" width="16.85546875" customWidth="1"/>
    <col min="516" max="516" width="16.7109375" customWidth="1"/>
    <col min="517" max="517" width="14.7109375" customWidth="1"/>
    <col min="518" max="518" width="4.85546875" customWidth="1"/>
    <col min="519" max="519" width="14.7109375" customWidth="1"/>
    <col min="520" max="520" width="18.28515625" customWidth="1"/>
    <col min="521" max="521" width="15.5703125" customWidth="1"/>
    <col min="522" max="522" width="6.140625" customWidth="1"/>
    <col min="523" max="523" width="14.7109375" customWidth="1"/>
    <col min="524" max="524" width="16.140625" customWidth="1"/>
    <col min="525" max="525" width="14.7109375" customWidth="1"/>
    <col min="526" max="526" width="4.85546875" customWidth="1"/>
    <col min="527" max="527" width="18.5703125" customWidth="1"/>
    <col min="769" max="769" width="33.140625" customWidth="1"/>
    <col min="770" max="770" width="11" customWidth="1"/>
    <col min="771" max="771" width="16.85546875" customWidth="1"/>
    <col min="772" max="772" width="16.7109375" customWidth="1"/>
    <col min="773" max="773" width="14.7109375" customWidth="1"/>
    <col min="774" max="774" width="4.85546875" customWidth="1"/>
    <col min="775" max="775" width="14.7109375" customWidth="1"/>
    <col min="776" max="776" width="18.28515625" customWidth="1"/>
    <col min="777" max="777" width="15.5703125" customWidth="1"/>
    <col min="778" max="778" width="6.140625" customWidth="1"/>
    <col min="779" max="779" width="14.7109375" customWidth="1"/>
    <col min="780" max="780" width="16.140625" customWidth="1"/>
    <col min="781" max="781" width="14.7109375" customWidth="1"/>
    <col min="782" max="782" width="4.85546875" customWidth="1"/>
    <col min="783" max="783" width="18.5703125" customWidth="1"/>
    <col min="1025" max="1025" width="33.140625" customWidth="1"/>
    <col min="1026" max="1026" width="11" customWidth="1"/>
    <col min="1027" max="1027" width="16.85546875" customWidth="1"/>
    <col min="1028" max="1028" width="16.7109375" customWidth="1"/>
    <col min="1029" max="1029" width="14.7109375" customWidth="1"/>
    <col min="1030" max="1030" width="4.85546875" customWidth="1"/>
    <col min="1031" max="1031" width="14.7109375" customWidth="1"/>
    <col min="1032" max="1032" width="18.28515625" customWidth="1"/>
    <col min="1033" max="1033" width="15.5703125" customWidth="1"/>
    <col min="1034" max="1034" width="6.140625" customWidth="1"/>
    <col min="1035" max="1035" width="14.7109375" customWidth="1"/>
    <col min="1036" max="1036" width="16.140625" customWidth="1"/>
    <col min="1037" max="1037" width="14.7109375" customWidth="1"/>
    <col min="1038" max="1038" width="4.85546875" customWidth="1"/>
    <col min="1039" max="1039" width="18.5703125" customWidth="1"/>
    <col min="1281" max="1281" width="33.140625" customWidth="1"/>
    <col min="1282" max="1282" width="11" customWidth="1"/>
    <col min="1283" max="1283" width="16.85546875" customWidth="1"/>
    <col min="1284" max="1284" width="16.7109375" customWidth="1"/>
    <col min="1285" max="1285" width="14.7109375" customWidth="1"/>
    <col min="1286" max="1286" width="4.85546875" customWidth="1"/>
    <col min="1287" max="1287" width="14.7109375" customWidth="1"/>
    <col min="1288" max="1288" width="18.28515625" customWidth="1"/>
    <col min="1289" max="1289" width="15.5703125" customWidth="1"/>
    <col min="1290" max="1290" width="6.140625" customWidth="1"/>
    <col min="1291" max="1291" width="14.7109375" customWidth="1"/>
    <col min="1292" max="1292" width="16.140625" customWidth="1"/>
    <col min="1293" max="1293" width="14.7109375" customWidth="1"/>
    <col min="1294" max="1294" width="4.85546875" customWidth="1"/>
    <col min="1295" max="1295" width="18.5703125" customWidth="1"/>
    <col min="1537" max="1537" width="33.140625" customWidth="1"/>
    <col min="1538" max="1538" width="11" customWidth="1"/>
    <col min="1539" max="1539" width="16.85546875" customWidth="1"/>
    <col min="1540" max="1540" width="16.7109375" customWidth="1"/>
    <col min="1541" max="1541" width="14.7109375" customWidth="1"/>
    <col min="1542" max="1542" width="4.85546875" customWidth="1"/>
    <col min="1543" max="1543" width="14.7109375" customWidth="1"/>
    <col min="1544" max="1544" width="18.28515625" customWidth="1"/>
    <col min="1545" max="1545" width="15.5703125" customWidth="1"/>
    <col min="1546" max="1546" width="6.140625" customWidth="1"/>
    <col min="1547" max="1547" width="14.7109375" customWidth="1"/>
    <col min="1548" max="1548" width="16.140625" customWidth="1"/>
    <col min="1549" max="1549" width="14.7109375" customWidth="1"/>
    <col min="1550" max="1550" width="4.85546875" customWidth="1"/>
    <col min="1551" max="1551" width="18.5703125" customWidth="1"/>
    <col min="1793" max="1793" width="33.140625" customWidth="1"/>
    <col min="1794" max="1794" width="11" customWidth="1"/>
    <col min="1795" max="1795" width="16.85546875" customWidth="1"/>
    <col min="1796" max="1796" width="16.7109375" customWidth="1"/>
    <col min="1797" max="1797" width="14.7109375" customWidth="1"/>
    <col min="1798" max="1798" width="4.85546875" customWidth="1"/>
    <col min="1799" max="1799" width="14.7109375" customWidth="1"/>
    <col min="1800" max="1800" width="18.28515625" customWidth="1"/>
    <col min="1801" max="1801" width="15.5703125" customWidth="1"/>
    <col min="1802" max="1802" width="6.140625" customWidth="1"/>
    <col min="1803" max="1803" width="14.7109375" customWidth="1"/>
    <col min="1804" max="1804" width="16.140625" customWidth="1"/>
    <col min="1805" max="1805" width="14.7109375" customWidth="1"/>
    <col min="1806" max="1806" width="4.85546875" customWidth="1"/>
    <col min="1807" max="1807" width="18.5703125" customWidth="1"/>
    <col min="2049" max="2049" width="33.140625" customWidth="1"/>
    <col min="2050" max="2050" width="11" customWidth="1"/>
    <col min="2051" max="2051" width="16.85546875" customWidth="1"/>
    <col min="2052" max="2052" width="16.7109375" customWidth="1"/>
    <col min="2053" max="2053" width="14.7109375" customWidth="1"/>
    <col min="2054" max="2054" width="4.85546875" customWidth="1"/>
    <col min="2055" max="2055" width="14.7109375" customWidth="1"/>
    <col min="2056" max="2056" width="18.28515625" customWidth="1"/>
    <col min="2057" max="2057" width="15.5703125" customWidth="1"/>
    <col min="2058" max="2058" width="6.140625" customWidth="1"/>
    <col min="2059" max="2059" width="14.7109375" customWidth="1"/>
    <col min="2060" max="2060" width="16.140625" customWidth="1"/>
    <col min="2061" max="2061" width="14.7109375" customWidth="1"/>
    <col min="2062" max="2062" width="4.85546875" customWidth="1"/>
    <col min="2063" max="2063" width="18.5703125" customWidth="1"/>
    <col min="2305" max="2305" width="33.140625" customWidth="1"/>
    <col min="2306" max="2306" width="11" customWidth="1"/>
    <col min="2307" max="2307" width="16.85546875" customWidth="1"/>
    <col min="2308" max="2308" width="16.7109375" customWidth="1"/>
    <col min="2309" max="2309" width="14.7109375" customWidth="1"/>
    <col min="2310" max="2310" width="4.85546875" customWidth="1"/>
    <col min="2311" max="2311" width="14.7109375" customWidth="1"/>
    <col min="2312" max="2312" width="18.28515625" customWidth="1"/>
    <col min="2313" max="2313" width="15.5703125" customWidth="1"/>
    <col min="2314" max="2314" width="6.140625" customWidth="1"/>
    <col min="2315" max="2315" width="14.7109375" customWidth="1"/>
    <col min="2316" max="2316" width="16.140625" customWidth="1"/>
    <col min="2317" max="2317" width="14.7109375" customWidth="1"/>
    <col min="2318" max="2318" width="4.85546875" customWidth="1"/>
    <col min="2319" max="2319" width="18.5703125" customWidth="1"/>
    <col min="2561" max="2561" width="33.140625" customWidth="1"/>
    <col min="2562" max="2562" width="11" customWidth="1"/>
    <col min="2563" max="2563" width="16.85546875" customWidth="1"/>
    <col min="2564" max="2564" width="16.7109375" customWidth="1"/>
    <col min="2565" max="2565" width="14.7109375" customWidth="1"/>
    <col min="2566" max="2566" width="4.85546875" customWidth="1"/>
    <col min="2567" max="2567" width="14.7109375" customWidth="1"/>
    <col min="2568" max="2568" width="18.28515625" customWidth="1"/>
    <col min="2569" max="2569" width="15.5703125" customWidth="1"/>
    <col min="2570" max="2570" width="6.140625" customWidth="1"/>
    <col min="2571" max="2571" width="14.7109375" customWidth="1"/>
    <col min="2572" max="2572" width="16.140625" customWidth="1"/>
    <col min="2573" max="2573" width="14.7109375" customWidth="1"/>
    <col min="2574" max="2574" width="4.85546875" customWidth="1"/>
    <col min="2575" max="2575" width="18.5703125" customWidth="1"/>
    <col min="2817" max="2817" width="33.140625" customWidth="1"/>
    <col min="2818" max="2818" width="11" customWidth="1"/>
    <col min="2819" max="2819" width="16.85546875" customWidth="1"/>
    <col min="2820" max="2820" width="16.7109375" customWidth="1"/>
    <col min="2821" max="2821" width="14.7109375" customWidth="1"/>
    <col min="2822" max="2822" width="4.85546875" customWidth="1"/>
    <col min="2823" max="2823" width="14.7109375" customWidth="1"/>
    <col min="2824" max="2824" width="18.28515625" customWidth="1"/>
    <col min="2825" max="2825" width="15.5703125" customWidth="1"/>
    <col min="2826" max="2826" width="6.140625" customWidth="1"/>
    <col min="2827" max="2827" width="14.7109375" customWidth="1"/>
    <col min="2828" max="2828" width="16.140625" customWidth="1"/>
    <col min="2829" max="2829" width="14.7109375" customWidth="1"/>
    <col min="2830" max="2830" width="4.85546875" customWidth="1"/>
    <col min="2831" max="2831" width="18.5703125" customWidth="1"/>
    <col min="3073" max="3073" width="33.140625" customWidth="1"/>
    <col min="3074" max="3074" width="11" customWidth="1"/>
    <col min="3075" max="3075" width="16.85546875" customWidth="1"/>
    <col min="3076" max="3076" width="16.7109375" customWidth="1"/>
    <col min="3077" max="3077" width="14.7109375" customWidth="1"/>
    <col min="3078" max="3078" width="4.85546875" customWidth="1"/>
    <col min="3079" max="3079" width="14.7109375" customWidth="1"/>
    <col min="3080" max="3080" width="18.28515625" customWidth="1"/>
    <col min="3081" max="3081" width="15.5703125" customWidth="1"/>
    <col min="3082" max="3082" width="6.140625" customWidth="1"/>
    <col min="3083" max="3083" width="14.7109375" customWidth="1"/>
    <col min="3084" max="3084" width="16.140625" customWidth="1"/>
    <col min="3085" max="3085" width="14.7109375" customWidth="1"/>
    <col min="3086" max="3086" width="4.85546875" customWidth="1"/>
    <col min="3087" max="3087" width="18.5703125" customWidth="1"/>
    <col min="3329" max="3329" width="33.140625" customWidth="1"/>
    <col min="3330" max="3330" width="11" customWidth="1"/>
    <col min="3331" max="3331" width="16.85546875" customWidth="1"/>
    <col min="3332" max="3332" width="16.7109375" customWidth="1"/>
    <col min="3333" max="3333" width="14.7109375" customWidth="1"/>
    <col min="3334" max="3334" width="4.85546875" customWidth="1"/>
    <col min="3335" max="3335" width="14.7109375" customWidth="1"/>
    <col min="3336" max="3336" width="18.28515625" customWidth="1"/>
    <col min="3337" max="3337" width="15.5703125" customWidth="1"/>
    <col min="3338" max="3338" width="6.140625" customWidth="1"/>
    <col min="3339" max="3339" width="14.7109375" customWidth="1"/>
    <col min="3340" max="3340" width="16.140625" customWidth="1"/>
    <col min="3341" max="3341" width="14.7109375" customWidth="1"/>
    <col min="3342" max="3342" width="4.85546875" customWidth="1"/>
    <col min="3343" max="3343" width="18.5703125" customWidth="1"/>
    <col min="3585" max="3585" width="33.140625" customWidth="1"/>
    <col min="3586" max="3586" width="11" customWidth="1"/>
    <col min="3587" max="3587" width="16.85546875" customWidth="1"/>
    <col min="3588" max="3588" width="16.7109375" customWidth="1"/>
    <col min="3589" max="3589" width="14.7109375" customWidth="1"/>
    <col min="3590" max="3590" width="4.85546875" customWidth="1"/>
    <col min="3591" max="3591" width="14.7109375" customWidth="1"/>
    <col min="3592" max="3592" width="18.28515625" customWidth="1"/>
    <col min="3593" max="3593" width="15.5703125" customWidth="1"/>
    <col min="3594" max="3594" width="6.140625" customWidth="1"/>
    <col min="3595" max="3595" width="14.7109375" customWidth="1"/>
    <col min="3596" max="3596" width="16.140625" customWidth="1"/>
    <col min="3597" max="3597" width="14.7109375" customWidth="1"/>
    <col min="3598" max="3598" width="4.85546875" customWidth="1"/>
    <col min="3599" max="3599" width="18.5703125" customWidth="1"/>
    <col min="3841" max="3841" width="33.140625" customWidth="1"/>
    <col min="3842" max="3842" width="11" customWidth="1"/>
    <col min="3843" max="3843" width="16.85546875" customWidth="1"/>
    <col min="3844" max="3844" width="16.7109375" customWidth="1"/>
    <col min="3845" max="3845" width="14.7109375" customWidth="1"/>
    <col min="3846" max="3846" width="4.85546875" customWidth="1"/>
    <col min="3847" max="3847" width="14.7109375" customWidth="1"/>
    <col min="3848" max="3848" width="18.28515625" customWidth="1"/>
    <col min="3849" max="3849" width="15.5703125" customWidth="1"/>
    <col min="3850" max="3850" width="6.140625" customWidth="1"/>
    <col min="3851" max="3851" width="14.7109375" customWidth="1"/>
    <col min="3852" max="3852" width="16.140625" customWidth="1"/>
    <col min="3853" max="3853" width="14.7109375" customWidth="1"/>
    <col min="3854" max="3854" width="4.85546875" customWidth="1"/>
    <col min="3855" max="3855" width="18.5703125" customWidth="1"/>
    <col min="4097" max="4097" width="33.140625" customWidth="1"/>
    <col min="4098" max="4098" width="11" customWidth="1"/>
    <col min="4099" max="4099" width="16.85546875" customWidth="1"/>
    <col min="4100" max="4100" width="16.7109375" customWidth="1"/>
    <col min="4101" max="4101" width="14.7109375" customWidth="1"/>
    <col min="4102" max="4102" width="4.85546875" customWidth="1"/>
    <col min="4103" max="4103" width="14.7109375" customWidth="1"/>
    <col min="4104" max="4104" width="18.28515625" customWidth="1"/>
    <col min="4105" max="4105" width="15.5703125" customWidth="1"/>
    <col min="4106" max="4106" width="6.140625" customWidth="1"/>
    <col min="4107" max="4107" width="14.7109375" customWidth="1"/>
    <col min="4108" max="4108" width="16.140625" customWidth="1"/>
    <col min="4109" max="4109" width="14.7109375" customWidth="1"/>
    <col min="4110" max="4110" width="4.85546875" customWidth="1"/>
    <col min="4111" max="4111" width="18.5703125" customWidth="1"/>
    <col min="4353" max="4353" width="33.140625" customWidth="1"/>
    <col min="4354" max="4354" width="11" customWidth="1"/>
    <col min="4355" max="4355" width="16.85546875" customWidth="1"/>
    <col min="4356" max="4356" width="16.7109375" customWidth="1"/>
    <col min="4357" max="4357" width="14.7109375" customWidth="1"/>
    <col min="4358" max="4358" width="4.85546875" customWidth="1"/>
    <col min="4359" max="4359" width="14.7109375" customWidth="1"/>
    <col min="4360" max="4360" width="18.28515625" customWidth="1"/>
    <col min="4361" max="4361" width="15.5703125" customWidth="1"/>
    <col min="4362" max="4362" width="6.140625" customWidth="1"/>
    <col min="4363" max="4363" width="14.7109375" customWidth="1"/>
    <col min="4364" max="4364" width="16.140625" customWidth="1"/>
    <col min="4365" max="4365" width="14.7109375" customWidth="1"/>
    <col min="4366" max="4366" width="4.85546875" customWidth="1"/>
    <col min="4367" max="4367" width="18.5703125" customWidth="1"/>
    <col min="4609" max="4609" width="33.140625" customWidth="1"/>
    <col min="4610" max="4610" width="11" customWidth="1"/>
    <col min="4611" max="4611" width="16.85546875" customWidth="1"/>
    <col min="4612" max="4612" width="16.7109375" customWidth="1"/>
    <col min="4613" max="4613" width="14.7109375" customWidth="1"/>
    <col min="4614" max="4614" width="4.85546875" customWidth="1"/>
    <col min="4615" max="4615" width="14.7109375" customWidth="1"/>
    <col min="4616" max="4616" width="18.28515625" customWidth="1"/>
    <col min="4617" max="4617" width="15.5703125" customWidth="1"/>
    <col min="4618" max="4618" width="6.140625" customWidth="1"/>
    <col min="4619" max="4619" width="14.7109375" customWidth="1"/>
    <col min="4620" max="4620" width="16.140625" customWidth="1"/>
    <col min="4621" max="4621" width="14.7109375" customWidth="1"/>
    <col min="4622" max="4622" width="4.85546875" customWidth="1"/>
    <col min="4623" max="4623" width="18.5703125" customWidth="1"/>
    <col min="4865" max="4865" width="33.140625" customWidth="1"/>
    <col min="4866" max="4866" width="11" customWidth="1"/>
    <col min="4867" max="4867" width="16.85546875" customWidth="1"/>
    <col min="4868" max="4868" width="16.7109375" customWidth="1"/>
    <col min="4869" max="4869" width="14.7109375" customWidth="1"/>
    <col min="4870" max="4870" width="4.85546875" customWidth="1"/>
    <col min="4871" max="4871" width="14.7109375" customWidth="1"/>
    <col min="4872" max="4872" width="18.28515625" customWidth="1"/>
    <col min="4873" max="4873" width="15.5703125" customWidth="1"/>
    <col min="4874" max="4874" width="6.140625" customWidth="1"/>
    <col min="4875" max="4875" width="14.7109375" customWidth="1"/>
    <col min="4876" max="4876" width="16.140625" customWidth="1"/>
    <col min="4877" max="4877" width="14.7109375" customWidth="1"/>
    <col min="4878" max="4878" width="4.85546875" customWidth="1"/>
    <col min="4879" max="4879" width="18.5703125" customWidth="1"/>
    <col min="5121" max="5121" width="33.140625" customWidth="1"/>
    <col min="5122" max="5122" width="11" customWidth="1"/>
    <col min="5123" max="5123" width="16.85546875" customWidth="1"/>
    <col min="5124" max="5124" width="16.7109375" customWidth="1"/>
    <col min="5125" max="5125" width="14.7109375" customWidth="1"/>
    <col min="5126" max="5126" width="4.85546875" customWidth="1"/>
    <col min="5127" max="5127" width="14.7109375" customWidth="1"/>
    <col min="5128" max="5128" width="18.28515625" customWidth="1"/>
    <col min="5129" max="5129" width="15.5703125" customWidth="1"/>
    <col min="5130" max="5130" width="6.140625" customWidth="1"/>
    <col min="5131" max="5131" width="14.7109375" customWidth="1"/>
    <col min="5132" max="5132" width="16.140625" customWidth="1"/>
    <col min="5133" max="5133" width="14.7109375" customWidth="1"/>
    <col min="5134" max="5134" width="4.85546875" customWidth="1"/>
    <col min="5135" max="5135" width="18.5703125" customWidth="1"/>
    <col min="5377" max="5377" width="33.140625" customWidth="1"/>
    <col min="5378" max="5378" width="11" customWidth="1"/>
    <col min="5379" max="5379" width="16.85546875" customWidth="1"/>
    <col min="5380" max="5380" width="16.7109375" customWidth="1"/>
    <col min="5381" max="5381" width="14.7109375" customWidth="1"/>
    <col min="5382" max="5382" width="4.85546875" customWidth="1"/>
    <col min="5383" max="5383" width="14.7109375" customWidth="1"/>
    <col min="5384" max="5384" width="18.28515625" customWidth="1"/>
    <col min="5385" max="5385" width="15.5703125" customWidth="1"/>
    <col min="5386" max="5386" width="6.140625" customWidth="1"/>
    <col min="5387" max="5387" width="14.7109375" customWidth="1"/>
    <col min="5388" max="5388" width="16.140625" customWidth="1"/>
    <col min="5389" max="5389" width="14.7109375" customWidth="1"/>
    <col min="5390" max="5390" width="4.85546875" customWidth="1"/>
    <col min="5391" max="5391" width="18.5703125" customWidth="1"/>
    <col min="5633" max="5633" width="33.140625" customWidth="1"/>
    <col min="5634" max="5634" width="11" customWidth="1"/>
    <col min="5635" max="5635" width="16.85546875" customWidth="1"/>
    <col min="5636" max="5636" width="16.7109375" customWidth="1"/>
    <col min="5637" max="5637" width="14.7109375" customWidth="1"/>
    <col min="5638" max="5638" width="4.85546875" customWidth="1"/>
    <col min="5639" max="5639" width="14.7109375" customWidth="1"/>
    <col min="5640" max="5640" width="18.28515625" customWidth="1"/>
    <col min="5641" max="5641" width="15.5703125" customWidth="1"/>
    <col min="5642" max="5642" width="6.140625" customWidth="1"/>
    <col min="5643" max="5643" width="14.7109375" customWidth="1"/>
    <col min="5644" max="5644" width="16.140625" customWidth="1"/>
    <col min="5645" max="5645" width="14.7109375" customWidth="1"/>
    <col min="5646" max="5646" width="4.85546875" customWidth="1"/>
    <col min="5647" max="5647" width="18.5703125" customWidth="1"/>
    <col min="5889" max="5889" width="33.140625" customWidth="1"/>
    <col min="5890" max="5890" width="11" customWidth="1"/>
    <col min="5891" max="5891" width="16.85546875" customWidth="1"/>
    <col min="5892" max="5892" width="16.7109375" customWidth="1"/>
    <col min="5893" max="5893" width="14.7109375" customWidth="1"/>
    <col min="5894" max="5894" width="4.85546875" customWidth="1"/>
    <col min="5895" max="5895" width="14.7109375" customWidth="1"/>
    <col min="5896" max="5896" width="18.28515625" customWidth="1"/>
    <col min="5897" max="5897" width="15.5703125" customWidth="1"/>
    <col min="5898" max="5898" width="6.140625" customWidth="1"/>
    <col min="5899" max="5899" width="14.7109375" customWidth="1"/>
    <col min="5900" max="5900" width="16.140625" customWidth="1"/>
    <col min="5901" max="5901" width="14.7109375" customWidth="1"/>
    <col min="5902" max="5902" width="4.85546875" customWidth="1"/>
    <col min="5903" max="5903" width="18.5703125" customWidth="1"/>
    <col min="6145" max="6145" width="33.140625" customWidth="1"/>
    <col min="6146" max="6146" width="11" customWidth="1"/>
    <col min="6147" max="6147" width="16.85546875" customWidth="1"/>
    <col min="6148" max="6148" width="16.7109375" customWidth="1"/>
    <col min="6149" max="6149" width="14.7109375" customWidth="1"/>
    <col min="6150" max="6150" width="4.85546875" customWidth="1"/>
    <col min="6151" max="6151" width="14.7109375" customWidth="1"/>
    <col min="6152" max="6152" width="18.28515625" customWidth="1"/>
    <col min="6153" max="6153" width="15.5703125" customWidth="1"/>
    <col min="6154" max="6154" width="6.140625" customWidth="1"/>
    <col min="6155" max="6155" width="14.7109375" customWidth="1"/>
    <col min="6156" max="6156" width="16.140625" customWidth="1"/>
    <col min="6157" max="6157" width="14.7109375" customWidth="1"/>
    <col min="6158" max="6158" width="4.85546875" customWidth="1"/>
    <col min="6159" max="6159" width="18.5703125" customWidth="1"/>
    <col min="6401" max="6401" width="33.140625" customWidth="1"/>
    <col min="6402" max="6402" width="11" customWidth="1"/>
    <col min="6403" max="6403" width="16.85546875" customWidth="1"/>
    <col min="6404" max="6404" width="16.7109375" customWidth="1"/>
    <col min="6405" max="6405" width="14.7109375" customWidth="1"/>
    <col min="6406" max="6406" width="4.85546875" customWidth="1"/>
    <col min="6407" max="6407" width="14.7109375" customWidth="1"/>
    <col min="6408" max="6408" width="18.28515625" customWidth="1"/>
    <col min="6409" max="6409" width="15.5703125" customWidth="1"/>
    <col min="6410" max="6410" width="6.140625" customWidth="1"/>
    <col min="6411" max="6411" width="14.7109375" customWidth="1"/>
    <col min="6412" max="6412" width="16.140625" customWidth="1"/>
    <col min="6413" max="6413" width="14.7109375" customWidth="1"/>
    <col min="6414" max="6414" width="4.85546875" customWidth="1"/>
    <col min="6415" max="6415" width="18.5703125" customWidth="1"/>
    <col min="6657" max="6657" width="33.140625" customWidth="1"/>
    <col min="6658" max="6658" width="11" customWidth="1"/>
    <col min="6659" max="6659" width="16.85546875" customWidth="1"/>
    <col min="6660" max="6660" width="16.7109375" customWidth="1"/>
    <col min="6661" max="6661" width="14.7109375" customWidth="1"/>
    <col min="6662" max="6662" width="4.85546875" customWidth="1"/>
    <col min="6663" max="6663" width="14.7109375" customWidth="1"/>
    <col min="6664" max="6664" width="18.28515625" customWidth="1"/>
    <col min="6665" max="6665" width="15.5703125" customWidth="1"/>
    <col min="6666" max="6666" width="6.140625" customWidth="1"/>
    <col min="6667" max="6667" width="14.7109375" customWidth="1"/>
    <col min="6668" max="6668" width="16.140625" customWidth="1"/>
    <col min="6669" max="6669" width="14.7109375" customWidth="1"/>
    <col min="6670" max="6670" width="4.85546875" customWidth="1"/>
    <col min="6671" max="6671" width="18.5703125" customWidth="1"/>
    <col min="6913" max="6913" width="33.140625" customWidth="1"/>
    <col min="6914" max="6914" width="11" customWidth="1"/>
    <col min="6915" max="6915" width="16.85546875" customWidth="1"/>
    <col min="6916" max="6916" width="16.7109375" customWidth="1"/>
    <col min="6917" max="6917" width="14.7109375" customWidth="1"/>
    <col min="6918" max="6918" width="4.85546875" customWidth="1"/>
    <col min="6919" max="6919" width="14.7109375" customWidth="1"/>
    <col min="6920" max="6920" width="18.28515625" customWidth="1"/>
    <col min="6921" max="6921" width="15.5703125" customWidth="1"/>
    <col min="6922" max="6922" width="6.140625" customWidth="1"/>
    <col min="6923" max="6923" width="14.7109375" customWidth="1"/>
    <col min="6924" max="6924" width="16.140625" customWidth="1"/>
    <col min="6925" max="6925" width="14.7109375" customWidth="1"/>
    <col min="6926" max="6926" width="4.85546875" customWidth="1"/>
    <col min="6927" max="6927" width="18.5703125" customWidth="1"/>
    <col min="7169" max="7169" width="33.140625" customWidth="1"/>
    <col min="7170" max="7170" width="11" customWidth="1"/>
    <col min="7171" max="7171" width="16.85546875" customWidth="1"/>
    <col min="7172" max="7172" width="16.7109375" customWidth="1"/>
    <col min="7173" max="7173" width="14.7109375" customWidth="1"/>
    <col min="7174" max="7174" width="4.85546875" customWidth="1"/>
    <col min="7175" max="7175" width="14.7109375" customWidth="1"/>
    <col min="7176" max="7176" width="18.28515625" customWidth="1"/>
    <col min="7177" max="7177" width="15.5703125" customWidth="1"/>
    <col min="7178" max="7178" width="6.140625" customWidth="1"/>
    <col min="7179" max="7179" width="14.7109375" customWidth="1"/>
    <col min="7180" max="7180" width="16.140625" customWidth="1"/>
    <col min="7181" max="7181" width="14.7109375" customWidth="1"/>
    <col min="7182" max="7182" width="4.85546875" customWidth="1"/>
    <col min="7183" max="7183" width="18.5703125" customWidth="1"/>
    <col min="7425" max="7425" width="33.140625" customWidth="1"/>
    <col min="7426" max="7426" width="11" customWidth="1"/>
    <col min="7427" max="7427" width="16.85546875" customWidth="1"/>
    <col min="7428" max="7428" width="16.7109375" customWidth="1"/>
    <col min="7429" max="7429" width="14.7109375" customWidth="1"/>
    <col min="7430" max="7430" width="4.85546875" customWidth="1"/>
    <col min="7431" max="7431" width="14.7109375" customWidth="1"/>
    <col min="7432" max="7432" width="18.28515625" customWidth="1"/>
    <col min="7433" max="7433" width="15.5703125" customWidth="1"/>
    <col min="7434" max="7434" width="6.140625" customWidth="1"/>
    <col min="7435" max="7435" width="14.7109375" customWidth="1"/>
    <col min="7436" max="7436" width="16.140625" customWidth="1"/>
    <col min="7437" max="7437" width="14.7109375" customWidth="1"/>
    <col min="7438" max="7438" width="4.85546875" customWidth="1"/>
    <col min="7439" max="7439" width="18.5703125" customWidth="1"/>
    <col min="7681" max="7681" width="33.140625" customWidth="1"/>
    <col min="7682" max="7682" width="11" customWidth="1"/>
    <col min="7683" max="7683" width="16.85546875" customWidth="1"/>
    <col min="7684" max="7684" width="16.7109375" customWidth="1"/>
    <col min="7685" max="7685" width="14.7109375" customWidth="1"/>
    <col min="7686" max="7686" width="4.85546875" customWidth="1"/>
    <col min="7687" max="7687" width="14.7109375" customWidth="1"/>
    <col min="7688" max="7688" width="18.28515625" customWidth="1"/>
    <col min="7689" max="7689" width="15.5703125" customWidth="1"/>
    <col min="7690" max="7690" width="6.140625" customWidth="1"/>
    <col min="7691" max="7691" width="14.7109375" customWidth="1"/>
    <col min="7692" max="7692" width="16.140625" customWidth="1"/>
    <col min="7693" max="7693" width="14.7109375" customWidth="1"/>
    <col min="7694" max="7694" width="4.85546875" customWidth="1"/>
    <col min="7695" max="7695" width="18.5703125" customWidth="1"/>
    <col min="7937" max="7937" width="33.140625" customWidth="1"/>
    <col min="7938" max="7938" width="11" customWidth="1"/>
    <col min="7939" max="7939" width="16.85546875" customWidth="1"/>
    <col min="7940" max="7940" width="16.7109375" customWidth="1"/>
    <col min="7941" max="7941" width="14.7109375" customWidth="1"/>
    <col min="7942" max="7942" width="4.85546875" customWidth="1"/>
    <col min="7943" max="7943" width="14.7109375" customWidth="1"/>
    <col min="7944" max="7944" width="18.28515625" customWidth="1"/>
    <col min="7945" max="7945" width="15.5703125" customWidth="1"/>
    <col min="7946" max="7946" width="6.140625" customWidth="1"/>
    <col min="7947" max="7947" width="14.7109375" customWidth="1"/>
    <col min="7948" max="7948" width="16.140625" customWidth="1"/>
    <col min="7949" max="7949" width="14.7109375" customWidth="1"/>
    <col min="7950" max="7950" width="4.85546875" customWidth="1"/>
    <col min="7951" max="7951" width="18.5703125" customWidth="1"/>
    <col min="8193" max="8193" width="33.140625" customWidth="1"/>
    <col min="8194" max="8194" width="11" customWidth="1"/>
    <col min="8195" max="8195" width="16.85546875" customWidth="1"/>
    <col min="8196" max="8196" width="16.7109375" customWidth="1"/>
    <col min="8197" max="8197" width="14.7109375" customWidth="1"/>
    <col min="8198" max="8198" width="4.85546875" customWidth="1"/>
    <col min="8199" max="8199" width="14.7109375" customWidth="1"/>
    <col min="8200" max="8200" width="18.28515625" customWidth="1"/>
    <col min="8201" max="8201" width="15.5703125" customWidth="1"/>
    <col min="8202" max="8202" width="6.140625" customWidth="1"/>
    <col min="8203" max="8203" width="14.7109375" customWidth="1"/>
    <col min="8204" max="8204" width="16.140625" customWidth="1"/>
    <col min="8205" max="8205" width="14.7109375" customWidth="1"/>
    <col min="8206" max="8206" width="4.85546875" customWidth="1"/>
    <col min="8207" max="8207" width="18.5703125" customWidth="1"/>
    <col min="8449" max="8449" width="33.140625" customWidth="1"/>
    <col min="8450" max="8450" width="11" customWidth="1"/>
    <col min="8451" max="8451" width="16.85546875" customWidth="1"/>
    <col min="8452" max="8452" width="16.7109375" customWidth="1"/>
    <col min="8453" max="8453" width="14.7109375" customWidth="1"/>
    <col min="8454" max="8454" width="4.85546875" customWidth="1"/>
    <col min="8455" max="8455" width="14.7109375" customWidth="1"/>
    <col min="8456" max="8456" width="18.28515625" customWidth="1"/>
    <col min="8457" max="8457" width="15.5703125" customWidth="1"/>
    <col min="8458" max="8458" width="6.140625" customWidth="1"/>
    <col min="8459" max="8459" width="14.7109375" customWidth="1"/>
    <col min="8460" max="8460" width="16.140625" customWidth="1"/>
    <col min="8461" max="8461" width="14.7109375" customWidth="1"/>
    <col min="8462" max="8462" width="4.85546875" customWidth="1"/>
    <col min="8463" max="8463" width="18.5703125" customWidth="1"/>
    <col min="8705" max="8705" width="33.140625" customWidth="1"/>
    <col min="8706" max="8706" width="11" customWidth="1"/>
    <col min="8707" max="8707" width="16.85546875" customWidth="1"/>
    <col min="8708" max="8708" width="16.7109375" customWidth="1"/>
    <col min="8709" max="8709" width="14.7109375" customWidth="1"/>
    <col min="8710" max="8710" width="4.85546875" customWidth="1"/>
    <col min="8711" max="8711" width="14.7109375" customWidth="1"/>
    <col min="8712" max="8712" width="18.28515625" customWidth="1"/>
    <col min="8713" max="8713" width="15.5703125" customWidth="1"/>
    <col min="8714" max="8714" width="6.140625" customWidth="1"/>
    <col min="8715" max="8715" width="14.7109375" customWidth="1"/>
    <col min="8716" max="8716" width="16.140625" customWidth="1"/>
    <col min="8717" max="8717" width="14.7109375" customWidth="1"/>
    <col min="8718" max="8718" width="4.85546875" customWidth="1"/>
    <col min="8719" max="8719" width="18.5703125" customWidth="1"/>
    <col min="8961" max="8961" width="33.140625" customWidth="1"/>
    <col min="8962" max="8962" width="11" customWidth="1"/>
    <col min="8963" max="8963" width="16.85546875" customWidth="1"/>
    <col min="8964" max="8964" width="16.7109375" customWidth="1"/>
    <col min="8965" max="8965" width="14.7109375" customWidth="1"/>
    <col min="8966" max="8966" width="4.85546875" customWidth="1"/>
    <col min="8967" max="8967" width="14.7109375" customWidth="1"/>
    <col min="8968" max="8968" width="18.28515625" customWidth="1"/>
    <col min="8969" max="8969" width="15.5703125" customWidth="1"/>
    <col min="8970" max="8970" width="6.140625" customWidth="1"/>
    <col min="8971" max="8971" width="14.7109375" customWidth="1"/>
    <col min="8972" max="8972" width="16.140625" customWidth="1"/>
    <col min="8973" max="8973" width="14.7109375" customWidth="1"/>
    <col min="8974" max="8974" width="4.85546875" customWidth="1"/>
    <col min="8975" max="8975" width="18.5703125" customWidth="1"/>
    <col min="9217" max="9217" width="33.140625" customWidth="1"/>
    <col min="9218" max="9218" width="11" customWidth="1"/>
    <col min="9219" max="9219" width="16.85546875" customWidth="1"/>
    <col min="9220" max="9220" width="16.7109375" customWidth="1"/>
    <col min="9221" max="9221" width="14.7109375" customWidth="1"/>
    <col min="9222" max="9222" width="4.85546875" customWidth="1"/>
    <col min="9223" max="9223" width="14.7109375" customWidth="1"/>
    <col min="9224" max="9224" width="18.28515625" customWidth="1"/>
    <col min="9225" max="9225" width="15.5703125" customWidth="1"/>
    <col min="9226" max="9226" width="6.140625" customWidth="1"/>
    <col min="9227" max="9227" width="14.7109375" customWidth="1"/>
    <col min="9228" max="9228" width="16.140625" customWidth="1"/>
    <col min="9229" max="9229" width="14.7109375" customWidth="1"/>
    <col min="9230" max="9230" width="4.85546875" customWidth="1"/>
    <col min="9231" max="9231" width="18.5703125" customWidth="1"/>
    <col min="9473" max="9473" width="33.140625" customWidth="1"/>
    <col min="9474" max="9474" width="11" customWidth="1"/>
    <col min="9475" max="9475" width="16.85546875" customWidth="1"/>
    <col min="9476" max="9476" width="16.7109375" customWidth="1"/>
    <col min="9477" max="9477" width="14.7109375" customWidth="1"/>
    <col min="9478" max="9478" width="4.85546875" customWidth="1"/>
    <col min="9479" max="9479" width="14.7109375" customWidth="1"/>
    <col min="9480" max="9480" width="18.28515625" customWidth="1"/>
    <col min="9481" max="9481" width="15.5703125" customWidth="1"/>
    <col min="9482" max="9482" width="6.140625" customWidth="1"/>
    <col min="9483" max="9483" width="14.7109375" customWidth="1"/>
    <col min="9484" max="9484" width="16.140625" customWidth="1"/>
    <col min="9485" max="9485" width="14.7109375" customWidth="1"/>
    <col min="9486" max="9486" width="4.85546875" customWidth="1"/>
    <col min="9487" max="9487" width="18.5703125" customWidth="1"/>
    <col min="9729" max="9729" width="33.140625" customWidth="1"/>
    <col min="9730" max="9730" width="11" customWidth="1"/>
    <col min="9731" max="9731" width="16.85546875" customWidth="1"/>
    <col min="9732" max="9732" width="16.7109375" customWidth="1"/>
    <col min="9733" max="9733" width="14.7109375" customWidth="1"/>
    <col min="9734" max="9734" width="4.85546875" customWidth="1"/>
    <col min="9735" max="9735" width="14.7109375" customWidth="1"/>
    <col min="9736" max="9736" width="18.28515625" customWidth="1"/>
    <col min="9737" max="9737" width="15.5703125" customWidth="1"/>
    <col min="9738" max="9738" width="6.140625" customWidth="1"/>
    <col min="9739" max="9739" width="14.7109375" customWidth="1"/>
    <col min="9740" max="9740" width="16.140625" customWidth="1"/>
    <col min="9741" max="9741" width="14.7109375" customWidth="1"/>
    <col min="9742" max="9742" width="4.85546875" customWidth="1"/>
    <col min="9743" max="9743" width="18.5703125" customWidth="1"/>
    <col min="9985" max="9985" width="33.140625" customWidth="1"/>
    <col min="9986" max="9986" width="11" customWidth="1"/>
    <col min="9987" max="9987" width="16.85546875" customWidth="1"/>
    <col min="9988" max="9988" width="16.7109375" customWidth="1"/>
    <col min="9989" max="9989" width="14.7109375" customWidth="1"/>
    <col min="9990" max="9990" width="4.85546875" customWidth="1"/>
    <col min="9991" max="9991" width="14.7109375" customWidth="1"/>
    <col min="9992" max="9992" width="18.28515625" customWidth="1"/>
    <col min="9993" max="9993" width="15.5703125" customWidth="1"/>
    <col min="9994" max="9994" width="6.140625" customWidth="1"/>
    <col min="9995" max="9995" width="14.7109375" customWidth="1"/>
    <col min="9996" max="9996" width="16.140625" customWidth="1"/>
    <col min="9997" max="9997" width="14.7109375" customWidth="1"/>
    <col min="9998" max="9998" width="4.85546875" customWidth="1"/>
    <col min="9999" max="9999" width="18.5703125" customWidth="1"/>
    <col min="10241" max="10241" width="33.140625" customWidth="1"/>
    <col min="10242" max="10242" width="11" customWidth="1"/>
    <col min="10243" max="10243" width="16.85546875" customWidth="1"/>
    <col min="10244" max="10244" width="16.7109375" customWidth="1"/>
    <col min="10245" max="10245" width="14.7109375" customWidth="1"/>
    <col min="10246" max="10246" width="4.85546875" customWidth="1"/>
    <col min="10247" max="10247" width="14.7109375" customWidth="1"/>
    <col min="10248" max="10248" width="18.28515625" customWidth="1"/>
    <col min="10249" max="10249" width="15.5703125" customWidth="1"/>
    <col min="10250" max="10250" width="6.140625" customWidth="1"/>
    <col min="10251" max="10251" width="14.7109375" customWidth="1"/>
    <col min="10252" max="10252" width="16.140625" customWidth="1"/>
    <col min="10253" max="10253" width="14.7109375" customWidth="1"/>
    <col min="10254" max="10254" width="4.85546875" customWidth="1"/>
    <col min="10255" max="10255" width="18.5703125" customWidth="1"/>
    <col min="10497" max="10497" width="33.140625" customWidth="1"/>
    <col min="10498" max="10498" width="11" customWidth="1"/>
    <col min="10499" max="10499" width="16.85546875" customWidth="1"/>
    <col min="10500" max="10500" width="16.7109375" customWidth="1"/>
    <col min="10501" max="10501" width="14.7109375" customWidth="1"/>
    <col min="10502" max="10502" width="4.85546875" customWidth="1"/>
    <col min="10503" max="10503" width="14.7109375" customWidth="1"/>
    <col min="10504" max="10504" width="18.28515625" customWidth="1"/>
    <col min="10505" max="10505" width="15.5703125" customWidth="1"/>
    <col min="10506" max="10506" width="6.140625" customWidth="1"/>
    <col min="10507" max="10507" width="14.7109375" customWidth="1"/>
    <col min="10508" max="10508" width="16.140625" customWidth="1"/>
    <col min="10509" max="10509" width="14.7109375" customWidth="1"/>
    <col min="10510" max="10510" width="4.85546875" customWidth="1"/>
    <col min="10511" max="10511" width="18.5703125" customWidth="1"/>
    <col min="10753" max="10753" width="33.140625" customWidth="1"/>
    <col min="10754" max="10754" width="11" customWidth="1"/>
    <col min="10755" max="10755" width="16.85546875" customWidth="1"/>
    <col min="10756" max="10756" width="16.7109375" customWidth="1"/>
    <col min="10757" max="10757" width="14.7109375" customWidth="1"/>
    <col min="10758" max="10758" width="4.85546875" customWidth="1"/>
    <col min="10759" max="10759" width="14.7109375" customWidth="1"/>
    <col min="10760" max="10760" width="18.28515625" customWidth="1"/>
    <col min="10761" max="10761" width="15.5703125" customWidth="1"/>
    <col min="10762" max="10762" width="6.140625" customWidth="1"/>
    <col min="10763" max="10763" width="14.7109375" customWidth="1"/>
    <col min="10764" max="10764" width="16.140625" customWidth="1"/>
    <col min="10765" max="10765" width="14.7109375" customWidth="1"/>
    <col min="10766" max="10766" width="4.85546875" customWidth="1"/>
    <col min="10767" max="10767" width="18.5703125" customWidth="1"/>
    <col min="11009" max="11009" width="33.140625" customWidth="1"/>
    <col min="11010" max="11010" width="11" customWidth="1"/>
    <col min="11011" max="11011" width="16.85546875" customWidth="1"/>
    <col min="11012" max="11012" width="16.7109375" customWidth="1"/>
    <col min="11013" max="11013" width="14.7109375" customWidth="1"/>
    <col min="11014" max="11014" width="4.85546875" customWidth="1"/>
    <col min="11015" max="11015" width="14.7109375" customWidth="1"/>
    <col min="11016" max="11016" width="18.28515625" customWidth="1"/>
    <col min="11017" max="11017" width="15.5703125" customWidth="1"/>
    <col min="11018" max="11018" width="6.140625" customWidth="1"/>
    <col min="11019" max="11019" width="14.7109375" customWidth="1"/>
    <col min="11020" max="11020" width="16.140625" customWidth="1"/>
    <col min="11021" max="11021" width="14.7109375" customWidth="1"/>
    <col min="11022" max="11022" width="4.85546875" customWidth="1"/>
    <col min="11023" max="11023" width="18.5703125" customWidth="1"/>
    <col min="11265" max="11265" width="33.140625" customWidth="1"/>
    <col min="11266" max="11266" width="11" customWidth="1"/>
    <col min="11267" max="11267" width="16.85546875" customWidth="1"/>
    <col min="11268" max="11268" width="16.7109375" customWidth="1"/>
    <col min="11269" max="11269" width="14.7109375" customWidth="1"/>
    <col min="11270" max="11270" width="4.85546875" customWidth="1"/>
    <col min="11271" max="11271" width="14.7109375" customWidth="1"/>
    <col min="11272" max="11272" width="18.28515625" customWidth="1"/>
    <col min="11273" max="11273" width="15.5703125" customWidth="1"/>
    <col min="11274" max="11274" width="6.140625" customWidth="1"/>
    <col min="11275" max="11275" width="14.7109375" customWidth="1"/>
    <col min="11276" max="11276" width="16.140625" customWidth="1"/>
    <col min="11277" max="11277" width="14.7109375" customWidth="1"/>
    <col min="11278" max="11278" width="4.85546875" customWidth="1"/>
    <col min="11279" max="11279" width="18.5703125" customWidth="1"/>
    <col min="11521" max="11521" width="33.140625" customWidth="1"/>
    <col min="11522" max="11522" width="11" customWidth="1"/>
    <col min="11523" max="11523" width="16.85546875" customWidth="1"/>
    <col min="11524" max="11524" width="16.7109375" customWidth="1"/>
    <col min="11525" max="11525" width="14.7109375" customWidth="1"/>
    <col min="11526" max="11526" width="4.85546875" customWidth="1"/>
    <col min="11527" max="11527" width="14.7109375" customWidth="1"/>
    <col min="11528" max="11528" width="18.28515625" customWidth="1"/>
    <col min="11529" max="11529" width="15.5703125" customWidth="1"/>
    <col min="11530" max="11530" width="6.140625" customWidth="1"/>
    <col min="11531" max="11531" width="14.7109375" customWidth="1"/>
    <col min="11532" max="11532" width="16.140625" customWidth="1"/>
    <col min="11533" max="11533" width="14.7109375" customWidth="1"/>
    <col min="11534" max="11534" width="4.85546875" customWidth="1"/>
    <col min="11535" max="11535" width="18.5703125" customWidth="1"/>
    <col min="11777" max="11777" width="33.140625" customWidth="1"/>
    <col min="11778" max="11778" width="11" customWidth="1"/>
    <col min="11779" max="11779" width="16.85546875" customWidth="1"/>
    <col min="11780" max="11780" width="16.7109375" customWidth="1"/>
    <col min="11781" max="11781" width="14.7109375" customWidth="1"/>
    <col min="11782" max="11782" width="4.85546875" customWidth="1"/>
    <col min="11783" max="11783" width="14.7109375" customWidth="1"/>
    <col min="11784" max="11784" width="18.28515625" customWidth="1"/>
    <col min="11785" max="11785" width="15.5703125" customWidth="1"/>
    <col min="11786" max="11786" width="6.140625" customWidth="1"/>
    <col min="11787" max="11787" width="14.7109375" customWidth="1"/>
    <col min="11788" max="11788" width="16.140625" customWidth="1"/>
    <col min="11789" max="11789" width="14.7109375" customWidth="1"/>
    <col min="11790" max="11790" width="4.85546875" customWidth="1"/>
    <col min="11791" max="11791" width="18.5703125" customWidth="1"/>
    <col min="12033" max="12033" width="33.140625" customWidth="1"/>
    <col min="12034" max="12034" width="11" customWidth="1"/>
    <col min="12035" max="12035" width="16.85546875" customWidth="1"/>
    <col min="12036" max="12036" width="16.7109375" customWidth="1"/>
    <col min="12037" max="12037" width="14.7109375" customWidth="1"/>
    <col min="12038" max="12038" width="4.85546875" customWidth="1"/>
    <col min="12039" max="12039" width="14.7109375" customWidth="1"/>
    <col min="12040" max="12040" width="18.28515625" customWidth="1"/>
    <col min="12041" max="12041" width="15.5703125" customWidth="1"/>
    <col min="12042" max="12042" width="6.140625" customWidth="1"/>
    <col min="12043" max="12043" width="14.7109375" customWidth="1"/>
    <col min="12044" max="12044" width="16.140625" customWidth="1"/>
    <col min="12045" max="12045" width="14.7109375" customWidth="1"/>
    <col min="12046" max="12046" width="4.85546875" customWidth="1"/>
    <col min="12047" max="12047" width="18.5703125" customWidth="1"/>
    <col min="12289" max="12289" width="33.140625" customWidth="1"/>
    <col min="12290" max="12290" width="11" customWidth="1"/>
    <col min="12291" max="12291" width="16.85546875" customWidth="1"/>
    <col min="12292" max="12292" width="16.7109375" customWidth="1"/>
    <col min="12293" max="12293" width="14.7109375" customWidth="1"/>
    <col min="12294" max="12294" width="4.85546875" customWidth="1"/>
    <col min="12295" max="12295" width="14.7109375" customWidth="1"/>
    <col min="12296" max="12296" width="18.28515625" customWidth="1"/>
    <col min="12297" max="12297" width="15.5703125" customWidth="1"/>
    <col min="12298" max="12298" width="6.140625" customWidth="1"/>
    <col min="12299" max="12299" width="14.7109375" customWidth="1"/>
    <col min="12300" max="12300" width="16.140625" customWidth="1"/>
    <col min="12301" max="12301" width="14.7109375" customWidth="1"/>
    <col min="12302" max="12302" width="4.85546875" customWidth="1"/>
    <col min="12303" max="12303" width="18.5703125" customWidth="1"/>
    <col min="12545" max="12545" width="33.140625" customWidth="1"/>
    <col min="12546" max="12546" width="11" customWidth="1"/>
    <col min="12547" max="12547" width="16.85546875" customWidth="1"/>
    <col min="12548" max="12548" width="16.7109375" customWidth="1"/>
    <col min="12549" max="12549" width="14.7109375" customWidth="1"/>
    <col min="12550" max="12550" width="4.85546875" customWidth="1"/>
    <col min="12551" max="12551" width="14.7109375" customWidth="1"/>
    <col min="12552" max="12552" width="18.28515625" customWidth="1"/>
    <col min="12553" max="12553" width="15.5703125" customWidth="1"/>
    <col min="12554" max="12554" width="6.140625" customWidth="1"/>
    <col min="12555" max="12555" width="14.7109375" customWidth="1"/>
    <col min="12556" max="12556" width="16.140625" customWidth="1"/>
    <col min="12557" max="12557" width="14.7109375" customWidth="1"/>
    <col min="12558" max="12558" width="4.85546875" customWidth="1"/>
    <col min="12559" max="12559" width="18.5703125" customWidth="1"/>
    <col min="12801" max="12801" width="33.140625" customWidth="1"/>
    <col min="12802" max="12802" width="11" customWidth="1"/>
    <col min="12803" max="12803" width="16.85546875" customWidth="1"/>
    <col min="12804" max="12804" width="16.7109375" customWidth="1"/>
    <col min="12805" max="12805" width="14.7109375" customWidth="1"/>
    <col min="12806" max="12806" width="4.85546875" customWidth="1"/>
    <col min="12807" max="12807" width="14.7109375" customWidth="1"/>
    <col min="12808" max="12808" width="18.28515625" customWidth="1"/>
    <col min="12809" max="12809" width="15.5703125" customWidth="1"/>
    <col min="12810" max="12810" width="6.140625" customWidth="1"/>
    <col min="12811" max="12811" width="14.7109375" customWidth="1"/>
    <col min="12812" max="12812" width="16.140625" customWidth="1"/>
    <col min="12813" max="12813" width="14.7109375" customWidth="1"/>
    <col min="12814" max="12814" width="4.85546875" customWidth="1"/>
    <col min="12815" max="12815" width="18.5703125" customWidth="1"/>
    <col min="13057" max="13057" width="33.140625" customWidth="1"/>
    <col min="13058" max="13058" width="11" customWidth="1"/>
    <col min="13059" max="13059" width="16.85546875" customWidth="1"/>
    <col min="13060" max="13060" width="16.7109375" customWidth="1"/>
    <col min="13061" max="13061" width="14.7109375" customWidth="1"/>
    <col min="13062" max="13062" width="4.85546875" customWidth="1"/>
    <col min="13063" max="13063" width="14.7109375" customWidth="1"/>
    <col min="13064" max="13064" width="18.28515625" customWidth="1"/>
    <col min="13065" max="13065" width="15.5703125" customWidth="1"/>
    <col min="13066" max="13066" width="6.140625" customWidth="1"/>
    <col min="13067" max="13067" width="14.7109375" customWidth="1"/>
    <col min="13068" max="13068" width="16.140625" customWidth="1"/>
    <col min="13069" max="13069" width="14.7109375" customWidth="1"/>
    <col min="13070" max="13070" width="4.85546875" customWidth="1"/>
    <col min="13071" max="13071" width="18.5703125" customWidth="1"/>
    <col min="13313" max="13313" width="33.140625" customWidth="1"/>
    <col min="13314" max="13314" width="11" customWidth="1"/>
    <col min="13315" max="13315" width="16.85546875" customWidth="1"/>
    <col min="13316" max="13316" width="16.7109375" customWidth="1"/>
    <col min="13317" max="13317" width="14.7109375" customWidth="1"/>
    <col min="13318" max="13318" width="4.85546875" customWidth="1"/>
    <col min="13319" max="13319" width="14.7109375" customWidth="1"/>
    <col min="13320" max="13320" width="18.28515625" customWidth="1"/>
    <col min="13321" max="13321" width="15.5703125" customWidth="1"/>
    <col min="13322" max="13322" width="6.140625" customWidth="1"/>
    <col min="13323" max="13323" width="14.7109375" customWidth="1"/>
    <col min="13324" max="13324" width="16.140625" customWidth="1"/>
    <col min="13325" max="13325" width="14.7109375" customWidth="1"/>
    <col min="13326" max="13326" width="4.85546875" customWidth="1"/>
    <col min="13327" max="13327" width="18.5703125" customWidth="1"/>
    <col min="13569" max="13569" width="33.140625" customWidth="1"/>
    <col min="13570" max="13570" width="11" customWidth="1"/>
    <col min="13571" max="13571" width="16.85546875" customWidth="1"/>
    <col min="13572" max="13572" width="16.7109375" customWidth="1"/>
    <col min="13573" max="13573" width="14.7109375" customWidth="1"/>
    <col min="13574" max="13574" width="4.85546875" customWidth="1"/>
    <col min="13575" max="13575" width="14.7109375" customWidth="1"/>
    <col min="13576" max="13576" width="18.28515625" customWidth="1"/>
    <col min="13577" max="13577" width="15.5703125" customWidth="1"/>
    <col min="13578" max="13578" width="6.140625" customWidth="1"/>
    <col min="13579" max="13579" width="14.7109375" customWidth="1"/>
    <col min="13580" max="13580" width="16.140625" customWidth="1"/>
    <col min="13581" max="13581" width="14.7109375" customWidth="1"/>
    <col min="13582" max="13582" width="4.85546875" customWidth="1"/>
    <col min="13583" max="13583" width="18.5703125" customWidth="1"/>
    <col min="13825" max="13825" width="33.140625" customWidth="1"/>
    <col min="13826" max="13826" width="11" customWidth="1"/>
    <col min="13827" max="13827" width="16.85546875" customWidth="1"/>
    <col min="13828" max="13828" width="16.7109375" customWidth="1"/>
    <col min="13829" max="13829" width="14.7109375" customWidth="1"/>
    <col min="13830" max="13830" width="4.85546875" customWidth="1"/>
    <col min="13831" max="13831" width="14.7109375" customWidth="1"/>
    <col min="13832" max="13832" width="18.28515625" customWidth="1"/>
    <col min="13833" max="13833" width="15.5703125" customWidth="1"/>
    <col min="13834" max="13834" width="6.140625" customWidth="1"/>
    <col min="13835" max="13835" width="14.7109375" customWidth="1"/>
    <col min="13836" max="13836" width="16.140625" customWidth="1"/>
    <col min="13837" max="13837" width="14.7109375" customWidth="1"/>
    <col min="13838" max="13838" width="4.85546875" customWidth="1"/>
    <col min="13839" max="13839" width="18.5703125" customWidth="1"/>
    <col min="14081" max="14081" width="33.140625" customWidth="1"/>
    <col min="14082" max="14082" width="11" customWidth="1"/>
    <col min="14083" max="14083" width="16.85546875" customWidth="1"/>
    <col min="14084" max="14084" width="16.7109375" customWidth="1"/>
    <col min="14085" max="14085" width="14.7109375" customWidth="1"/>
    <col min="14086" max="14086" width="4.85546875" customWidth="1"/>
    <col min="14087" max="14087" width="14.7109375" customWidth="1"/>
    <col min="14088" max="14088" width="18.28515625" customWidth="1"/>
    <col min="14089" max="14089" width="15.5703125" customWidth="1"/>
    <col min="14090" max="14090" width="6.140625" customWidth="1"/>
    <col min="14091" max="14091" width="14.7109375" customWidth="1"/>
    <col min="14092" max="14092" width="16.140625" customWidth="1"/>
    <col min="14093" max="14093" width="14.7109375" customWidth="1"/>
    <col min="14094" max="14094" width="4.85546875" customWidth="1"/>
    <col min="14095" max="14095" width="18.5703125" customWidth="1"/>
    <col min="14337" max="14337" width="33.140625" customWidth="1"/>
    <col min="14338" max="14338" width="11" customWidth="1"/>
    <col min="14339" max="14339" width="16.85546875" customWidth="1"/>
    <col min="14340" max="14340" width="16.7109375" customWidth="1"/>
    <col min="14341" max="14341" width="14.7109375" customWidth="1"/>
    <col min="14342" max="14342" width="4.85546875" customWidth="1"/>
    <col min="14343" max="14343" width="14.7109375" customWidth="1"/>
    <col min="14344" max="14344" width="18.28515625" customWidth="1"/>
    <col min="14345" max="14345" width="15.5703125" customWidth="1"/>
    <col min="14346" max="14346" width="6.140625" customWidth="1"/>
    <col min="14347" max="14347" width="14.7109375" customWidth="1"/>
    <col min="14348" max="14348" width="16.140625" customWidth="1"/>
    <col min="14349" max="14349" width="14.7109375" customWidth="1"/>
    <col min="14350" max="14350" width="4.85546875" customWidth="1"/>
    <col min="14351" max="14351" width="18.5703125" customWidth="1"/>
    <col min="14593" max="14593" width="33.140625" customWidth="1"/>
    <col min="14594" max="14594" width="11" customWidth="1"/>
    <col min="14595" max="14595" width="16.85546875" customWidth="1"/>
    <col min="14596" max="14596" width="16.7109375" customWidth="1"/>
    <col min="14597" max="14597" width="14.7109375" customWidth="1"/>
    <col min="14598" max="14598" width="4.85546875" customWidth="1"/>
    <col min="14599" max="14599" width="14.7109375" customWidth="1"/>
    <col min="14600" max="14600" width="18.28515625" customWidth="1"/>
    <col min="14601" max="14601" width="15.5703125" customWidth="1"/>
    <col min="14602" max="14602" width="6.140625" customWidth="1"/>
    <col min="14603" max="14603" width="14.7109375" customWidth="1"/>
    <col min="14604" max="14604" width="16.140625" customWidth="1"/>
    <col min="14605" max="14605" width="14.7109375" customWidth="1"/>
    <col min="14606" max="14606" width="4.85546875" customWidth="1"/>
    <col min="14607" max="14607" width="18.5703125" customWidth="1"/>
    <col min="14849" max="14849" width="33.140625" customWidth="1"/>
    <col min="14850" max="14850" width="11" customWidth="1"/>
    <col min="14851" max="14851" width="16.85546875" customWidth="1"/>
    <col min="14852" max="14852" width="16.7109375" customWidth="1"/>
    <col min="14853" max="14853" width="14.7109375" customWidth="1"/>
    <col min="14854" max="14854" width="4.85546875" customWidth="1"/>
    <col min="14855" max="14855" width="14.7109375" customWidth="1"/>
    <col min="14856" max="14856" width="18.28515625" customWidth="1"/>
    <col min="14857" max="14857" width="15.5703125" customWidth="1"/>
    <col min="14858" max="14858" width="6.140625" customWidth="1"/>
    <col min="14859" max="14859" width="14.7109375" customWidth="1"/>
    <col min="14860" max="14860" width="16.140625" customWidth="1"/>
    <col min="14861" max="14861" width="14.7109375" customWidth="1"/>
    <col min="14862" max="14862" width="4.85546875" customWidth="1"/>
    <col min="14863" max="14863" width="18.5703125" customWidth="1"/>
    <col min="15105" max="15105" width="33.140625" customWidth="1"/>
    <col min="15106" max="15106" width="11" customWidth="1"/>
    <col min="15107" max="15107" width="16.85546875" customWidth="1"/>
    <col min="15108" max="15108" width="16.7109375" customWidth="1"/>
    <col min="15109" max="15109" width="14.7109375" customWidth="1"/>
    <col min="15110" max="15110" width="4.85546875" customWidth="1"/>
    <col min="15111" max="15111" width="14.7109375" customWidth="1"/>
    <col min="15112" max="15112" width="18.28515625" customWidth="1"/>
    <col min="15113" max="15113" width="15.5703125" customWidth="1"/>
    <col min="15114" max="15114" width="6.140625" customWidth="1"/>
    <col min="15115" max="15115" width="14.7109375" customWidth="1"/>
    <col min="15116" max="15116" width="16.140625" customWidth="1"/>
    <col min="15117" max="15117" width="14.7109375" customWidth="1"/>
    <col min="15118" max="15118" width="4.85546875" customWidth="1"/>
    <col min="15119" max="15119" width="18.5703125" customWidth="1"/>
    <col min="15361" max="15361" width="33.140625" customWidth="1"/>
    <col min="15362" max="15362" width="11" customWidth="1"/>
    <col min="15363" max="15363" width="16.85546875" customWidth="1"/>
    <col min="15364" max="15364" width="16.7109375" customWidth="1"/>
    <col min="15365" max="15365" width="14.7109375" customWidth="1"/>
    <col min="15366" max="15366" width="4.85546875" customWidth="1"/>
    <col min="15367" max="15367" width="14.7109375" customWidth="1"/>
    <col min="15368" max="15368" width="18.28515625" customWidth="1"/>
    <col min="15369" max="15369" width="15.5703125" customWidth="1"/>
    <col min="15370" max="15370" width="6.140625" customWidth="1"/>
    <col min="15371" max="15371" width="14.7109375" customWidth="1"/>
    <col min="15372" max="15372" width="16.140625" customWidth="1"/>
    <col min="15373" max="15373" width="14.7109375" customWidth="1"/>
    <col min="15374" max="15374" width="4.85546875" customWidth="1"/>
    <col min="15375" max="15375" width="18.5703125" customWidth="1"/>
    <col min="15617" max="15617" width="33.140625" customWidth="1"/>
    <col min="15618" max="15618" width="11" customWidth="1"/>
    <col min="15619" max="15619" width="16.85546875" customWidth="1"/>
    <col min="15620" max="15620" width="16.7109375" customWidth="1"/>
    <col min="15621" max="15621" width="14.7109375" customWidth="1"/>
    <col min="15622" max="15622" width="4.85546875" customWidth="1"/>
    <col min="15623" max="15623" width="14.7109375" customWidth="1"/>
    <col min="15624" max="15624" width="18.28515625" customWidth="1"/>
    <col min="15625" max="15625" width="15.5703125" customWidth="1"/>
    <col min="15626" max="15626" width="6.140625" customWidth="1"/>
    <col min="15627" max="15627" width="14.7109375" customWidth="1"/>
    <col min="15628" max="15628" width="16.140625" customWidth="1"/>
    <col min="15629" max="15629" width="14.7109375" customWidth="1"/>
    <col min="15630" max="15630" width="4.85546875" customWidth="1"/>
    <col min="15631" max="15631" width="18.5703125" customWidth="1"/>
    <col min="15873" max="15873" width="33.140625" customWidth="1"/>
    <col min="15874" max="15874" width="11" customWidth="1"/>
    <col min="15875" max="15875" width="16.85546875" customWidth="1"/>
    <col min="15876" max="15876" width="16.7109375" customWidth="1"/>
    <col min="15877" max="15877" width="14.7109375" customWidth="1"/>
    <col min="15878" max="15878" width="4.85546875" customWidth="1"/>
    <col min="15879" max="15879" width="14.7109375" customWidth="1"/>
    <col min="15880" max="15880" width="18.28515625" customWidth="1"/>
    <col min="15881" max="15881" width="15.5703125" customWidth="1"/>
    <col min="15882" max="15882" width="6.140625" customWidth="1"/>
    <col min="15883" max="15883" width="14.7109375" customWidth="1"/>
    <col min="15884" max="15884" width="16.140625" customWidth="1"/>
    <col min="15885" max="15885" width="14.7109375" customWidth="1"/>
    <col min="15886" max="15886" width="4.85546875" customWidth="1"/>
    <col min="15887" max="15887" width="18.5703125" customWidth="1"/>
    <col min="16129" max="16129" width="33.140625" customWidth="1"/>
    <col min="16130" max="16130" width="11" customWidth="1"/>
    <col min="16131" max="16131" width="16.85546875" customWidth="1"/>
    <col min="16132" max="16132" width="16.7109375" customWidth="1"/>
    <col min="16133" max="16133" width="14.7109375" customWidth="1"/>
    <col min="16134" max="16134" width="4.85546875" customWidth="1"/>
    <col min="16135" max="16135" width="14.7109375" customWidth="1"/>
    <col min="16136" max="16136" width="18.28515625" customWidth="1"/>
    <col min="16137" max="16137" width="15.5703125" customWidth="1"/>
    <col min="16138" max="16138" width="6.140625" customWidth="1"/>
    <col min="16139" max="16139" width="14.7109375" customWidth="1"/>
    <col min="16140" max="16140" width="16.140625" customWidth="1"/>
    <col min="16141" max="16141" width="14.7109375" customWidth="1"/>
    <col min="16142" max="16142" width="4.85546875" customWidth="1"/>
    <col min="16143" max="16143" width="18.5703125" customWidth="1"/>
  </cols>
  <sheetData>
    <row r="1" spans="1:19" ht="15.75">
      <c r="A1" s="645" t="s">
        <v>114</v>
      </c>
      <c r="B1" s="550"/>
      <c r="C1" s="550"/>
      <c r="D1" s="550"/>
      <c r="E1" s="550"/>
      <c r="F1" s="550"/>
      <c r="G1" s="215"/>
      <c r="H1" s="550"/>
      <c r="I1" s="550"/>
      <c r="J1" s="550"/>
      <c r="K1" s="550"/>
      <c r="L1" s="550"/>
      <c r="M1" s="550"/>
      <c r="N1" s="550"/>
      <c r="O1" s="550"/>
      <c r="P1" s="550"/>
      <c r="Q1" s="550"/>
      <c r="R1" s="550"/>
      <c r="S1" s="550"/>
    </row>
    <row r="2" spans="1:19" ht="15.75">
      <c r="A2" s="645" t="s">
        <v>114</v>
      </c>
      <c r="B2" s="550"/>
      <c r="C2" s="550"/>
      <c r="D2" s="550"/>
      <c r="E2" s="550"/>
      <c r="F2" s="550"/>
      <c r="G2" s="215"/>
      <c r="H2" s="550"/>
      <c r="I2" s="550"/>
      <c r="J2" s="550"/>
      <c r="K2" s="550"/>
      <c r="L2" s="550"/>
      <c r="M2" s="550"/>
      <c r="N2" s="550"/>
      <c r="O2" s="550"/>
      <c r="P2" s="550"/>
      <c r="Q2" s="550"/>
      <c r="R2" s="550"/>
      <c r="S2" s="550"/>
    </row>
    <row r="3" spans="1:19" ht="19.5">
      <c r="A3" s="1331" t="s">
        <v>391</v>
      </c>
      <c r="B3" s="1331"/>
      <c r="C3" s="1331"/>
      <c r="D3" s="1331"/>
      <c r="E3" s="1331"/>
      <c r="F3" s="1331"/>
      <c r="G3" s="1331"/>
      <c r="H3" s="1331"/>
      <c r="I3" s="1331"/>
      <c r="J3" s="1331"/>
      <c r="K3" s="1331"/>
      <c r="L3" s="1331"/>
      <c r="M3" s="1331"/>
      <c r="N3" s="1331"/>
      <c r="O3" s="1331"/>
      <c r="P3" s="549"/>
      <c r="Q3" s="549"/>
      <c r="R3" s="549"/>
      <c r="S3" s="549"/>
    </row>
    <row r="4" spans="1:19" ht="19.5">
      <c r="A4" s="1331" t="s">
        <v>392</v>
      </c>
      <c r="B4" s="1331"/>
      <c r="C4" s="1331"/>
      <c r="D4" s="1331"/>
      <c r="E4" s="1331"/>
      <c r="F4" s="1331"/>
      <c r="G4" s="1331"/>
      <c r="H4" s="1331"/>
      <c r="I4" s="1331"/>
      <c r="J4" s="1331"/>
      <c r="K4" s="1331"/>
      <c r="L4" s="1331"/>
      <c r="M4" s="1331"/>
      <c r="N4" s="1331"/>
      <c r="O4" s="1331"/>
      <c r="P4" s="549"/>
      <c r="Q4" s="549"/>
      <c r="R4" s="549"/>
      <c r="S4" s="549"/>
    </row>
    <row r="5" spans="1:19" ht="19.5">
      <c r="A5" s="1331" t="s">
        <v>393</v>
      </c>
      <c r="B5" s="1331"/>
      <c r="C5" s="1331"/>
      <c r="D5" s="1331"/>
      <c r="E5" s="1331"/>
      <c r="F5" s="1331"/>
      <c r="G5" s="1331"/>
      <c r="H5" s="1331"/>
      <c r="I5" s="1331"/>
      <c r="J5" s="1331"/>
      <c r="K5" s="1331"/>
      <c r="L5" s="1331"/>
      <c r="M5" s="1331"/>
      <c r="N5" s="1331"/>
      <c r="O5" s="1331"/>
      <c r="P5" s="549"/>
      <c r="Q5" s="549"/>
      <c r="R5" s="549"/>
      <c r="S5" s="549"/>
    </row>
    <row r="6" spans="1:19" ht="19.5">
      <c r="A6" s="1331" t="s">
        <v>394</v>
      </c>
      <c r="B6" s="1331"/>
      <c r="C6" s="1331"/>
      <c r="D6" s="1331"/>
      <c r="E6" s="1331"/>
      <c r="F6" s="1331"/>
      <c r="G6" s="1331"/>
      <c r="H6" s="1331"/>
      <c r="I6" s="1331"/>
      <c r="J6" s="1331"/>
      <c r="K6" s="1331"/>
      <c r="L6" s="1331"/>
      <c r="M6" s="1331"/>
      <c r="N6" s="1331"/>
      <c r="O6" s="1331"/>
      <c r="P6" s="549"/>
      <c r="Q6" s="549"/>
      <c r="R6" s="549"/>
      <c r="S6" s="549"/>
    </row>
    <row r="7" spans="1:19" ht="19.5">
      <c r="A7" s="1331" t="s">
        <v>1111</v>
      </c>
      <c r="B7" s="1331"/>
      <c r="C7" s="1331"/>
      <c r="D7" s="1331"/>
      <c r="E7" s="1331"/>
      <c r="F7" s="1331"/>
      <c r="G7" s="1331"/>
      <c r="H7" s="1331"/>
      <c r="I7" s="1331"/>
      <c r="J7" s="1331"/>
      <c r="K7" s="1331"/>
      <c r="L7" s="1331"/>
      <c r="M7" s="1331"/>
      <c r="N7" s="1331"/>
      <c r="O7" s="1331"/>
      <c r="P7" s="549"/>
      <c r="Q7" s="549"/>
      <c r="R7" s="549"/>
      <c r="S7" s="549"/>
    </row>
    <row r="8" spans="1:19" ht="19.5">
      <c r="A8" s="1331" t="s">
        <v>395</v>
      </c>
      <c r="B8" s="1331"/>
      <c r="C8" s="1331"/>
      <c r="D8" s="1331"/>
      <c r="E8" s="1331"/>
      <c r="F8" s="1331"/>
      <c r="G8" s="1331"/>
      <c r="H8" s="1331"/>
      <c r="I8" s="1331"/>
      <c r="J8" s="1331"/>
      <c r="K8" s="1331"/>
      <c r="L8" s="1331"/>
      <c r="M8" s="1331"/>
      <c r="N8" s="1331"/>
      <c r="O8" s="1331"/>
      <c r="P8" s="549"/>
      <c r="Q8" s="549"/>
      <c r="R8" s="549"/>
      <c r="S8" s="549"/>
    </row>
    <row r="9" spans="1:19" ht="19.5">
      <c r="A9" s="1332" t="s">
        <v>990</v>
      </c>
      <c r="B9" s="1332"/>
      <c r="C9" s="1332"/>
      <c r="D9" s="1332"/>
      <c r="E9" s="1332"/>
      <c r="F9" s="1332"/>
      <c r="G9" s="1332"/>
      <c r="H9" s="1332"/>
      <c r="I9" s="1332"/>
      <c r="J9" s="1332"/>
      <c r="K9" s="1332"/>
      <c r="L9" s="1332"/>
      <c r="M9" s="1332"/>
      <c r="N9" s="1332"/>
      <c r="O9" s="1332"/>
      <c r="P9" s="549"/>
      <c r="Q9" s="549"/>
      <c r="R9" s="549"/>
      <c r="S9" s="549"/>
    </row>
    <row r="10" spans="1:19" ht="19.5">
      <c r="A10" s="1333"/>
      <c r="B10" s="1333"/>
      <c r="C10" s="1333"/>
      <c r="D10" s="1333"/>
      <c r="E10" s="1333"/>
      <c r="F10" s="1333"/>
      <c r="G10" s="1333"/>
      <c r="H10" s="1333"/>
      <c r="I10" s="1333"/>
      <c r="J10" s="1333"/>
      <c r="K10" s="1333"/>
      <c r="L10" s="1333"/>
      <c r="M10" s="1333"/>
      <c r="N10" s="1333"/>
      <c r="O10" s="1333"/>
      <c r="P10" s="966"/>
      <c r="Q10" s="966"/>
      <c r="R10" s="966"/>
      <c r="S10" s="966"/>
    </row>
    <row r="11" spans="1:19" ht="15">
      <c r="A11" s="550"/>
      <c r="B11" s="550"/>
      <c r="C11" s="550"/>
      <c r="D11" s="550"/>
      <c r="E11" s="550"/>
      <c r="F11" s="550"/>
      <c r="G11" s="215"/>
      <c r="H11" s="550"/>
      <c r="I11" s="550"/>
      <c r="J11" s="550"/>
      <c r="K11" s="550"/>
      <c r="L11" s="550"/>
      <c r="M11" s="550"/>
      <c r="N11" s="550"/>
      <c r="O11" s="550"/>
      <c r="P11" s="550"/>
      <c r="Q11" s="550"/>
      <c r="R11" s="550"/>
      <c r="S11" s="550"/>
    </row>
    <row r="12" spans="1:19" ht="16.5" thickBot="1">
      <c r="A12" s="551"/>
      <c r="B12" s="551"/>
      <c r="C12" s="1334" t="s">
        <v>599</v>
      </c>
      <c r="D12" s="1334"/>
      <c r="E12" s="1334"/>
      <c r="F12" s="551"/>
      <c r="G12" s="1334" t="s">
        <v>600</v>
      </c>
      <c r="H12" s="1334"/>
      <c r="I12" s="1334"/>
      <c r="J12" s="551"/>
      <c r="K12" s="1334" t="s">
        <v>396</v>
      </c>
      <c r="L12" s="1334"/>
      <c r="M12" s="1334"/>
      <c r="N12" s="551"/>
      <c r="O12" s="1334" t="s">
        <v>601</v>
      </c>
      <c r="P12" s="1334"/>
      <c r="Q12" s="1334"/>
      <c r="R12" s="551"/>
      <c r="S12" s="1029" t="s">
        <v>397</v>
      </c>
    </row>
    <row r="13" spans="1:19" ht="15">
      <c r="A13" s="551"/>
      <c r="B13" s="551"/>
      <c r="C13" s="552" t="s">
        <v>121</v>
      </c>
      <c r="D13" s="553"/>
      <c r="E13" s="553"/>
      <c r="F13" s="553"/>
      <c r="G13" s="554" t="s">
        <v>122</v>
      </c>
      <c r="H13" s="555"/>
      <c r="I13" s="555"/>
      <c r="J13" s="555"/>
      <c r="K13" s="556" t="s">
        <v>123</v>
      </c>
      <c r="L13" s="555"/>
      <c r="M13" s="555"/>
      <c r="N13" s="555"/>
      <c r="O13" s="557" t="s">
        <v>124</v>
      </c>
      <c r="P13" s="555"/>
      <c r="Q13" s="555"/>
      <c r="R13" s="555"/>
      <c r="S13" s="555"/>
    </row>
    <row r="14" spans="1:19" ht="15">
      <c r="A14" s="551"/>
      <c r="B14" s="551"/>
      <c r="C14" s="552" t="s">
        <v>114</v>
      </c>
      <c r="D14" s="553"/>
      <c r="E14" s="552" t="s">
        <v>398</v>
      </c>
      <c r="F14" s="553"/>
      <c r="G14" s="554" t="s">
        <v>602</v>
      </c>
      <c r="H14" s="553"/>
      <c r="I14" s="552" t="s">
        <v>398</v>
      </c>
      <c r="J14" s="553"/>
      <c r="K14" s="550"/>
      <c r="L14" s="553"/>
      <c r="M14" s="552" t="s">
        <v>398</v>
      </c>
      <c r="N14" s="553"/>
      <c r="O14" s="550"/>
      <c r="P14" s="553"/>
      <c r="Q14" s="552" t="s">
        <v>398</v>
      </c>
      <c r="R14" s="553"/>
      <c r="S14" s="552" t="s">
        <v>398</v>
      </c>
    </row>
    <row r="15" spans="1:19" ht="15">
      <c r="A15" s="551"/>
      <c r="B15" s="552" t="s">
        <v>399</v>
      </c>
      <c r="C15" s="552" t="s">
        <v>603</v>
      </c>
      <c r="D15" s="552" t="s">
        <v>400</v>
      </c>
      <c r="E15" s="552" t="s">
        <v>401</v>
      </c>
      <c r="F15" s="553"/>
      <c r="G15" s="554" t="s">
        <v>402</v>
      </c>
      <c r="H15" s="552" t="s">
        <v>400</v>
      </c>
      <c r="I15" s="552" t="s">
        <v>401</v>
      </c>
      <c r="J15" s="553"/>
      <c r="K15" s="552" t="s">
        <v>80</v>
      </c>
      <c r="L15" s="552" t="s">
        <v>400</v>
      </c>
      <c r="M15" s="552" t="s">
        <v>401</v>
      </c>
      <c r="N15" s="553"/>
      <c r="O15" s="552" t="s">
        <v>80</v>
      </c>
      <c r="P15" s="552" t="s">
        <v>400</v>
      </c>
      <c r="Q15" s="552" t="s">
        <v>401</v>
      </c>
      <c r="R15" s="553"/>
      <c r="S15" s="552" t="s">
        <v>401</v>
      </c>
    </row>
    <row r="16" spans="1:19" ht="15">
      <c r="A16" s="552"/>
      <c r="B16" s="552" t="s">
        <v>403</v>
      </c>
      <c r="C16" s="552" t="s">
        <v>404</v>
      </c>
      <c r="D16" s="552" t="s">
        <v>604</v>
      </c>
      <c r="E16" s="552" t="s">
        <v>405</v>
      </c>
      <c r="F16" s="553"/>
      <c r="G16" s="554" t="s">
        <v>404</v>
      </c>
      <c r="H16" s="552" t="s">
        <v>604</v>
      </c>
      <c r="I16" s="552" t="s">
        <v>405</v>
      </c>
      <c r="J16" s="553"/>
      <c r="K16" s="552" t="s">
        <v>404</v>
      </c>
      <c r="L16" s="552" t="s">
        <v>604</v>
      </c>
      <c r="M16" s="552" t="s">
        <v>405</v>
      </c>
      <c r="N16" s="553"/>
      <c r="O16" s="552" t="s">
        <v>404</v>
      </c>
      <c r="P16" s="552" t="s">
        <v>604</v>
      </c>
      <c r="Q16" s="552" t="s">
        <v>405</v>
      </c>
      <c r="R16" s="553"/>
      <c r="S16" s="552" t="s">
        <v>405</v>
      </c>
    </row>
    <row r="17" spans="1:19" ht="15">
      <c r="A17" s="550"/>
      <c r="B17" s="550"/>
      <c r="C17" s="550"/>
      <c r="D17" s="550"/>
      <c r="E17" s="550"/>
      <c r="F17" s="550"/>
      <c r="G17" s="215"/>
      <c r="H17" s="550"/>
      <c r="I17" s="550"/>
      <c r="J17" s="550"/>
      <c r="K17" s="550"/>
      <c r="L17" s="550"/>
      <c r="M17" s="550"/>
      <c r="N17" s="550"/>
      <c r="O17" s="550"/>
      <c r="P17" s="550"/>
      <c r="Q17" s="550"/>
      <c r="R17" s="550"/>
      <c r="S17" s="550"/>
    </row>
    <row r="18" spans="1:19" ht="15.75" thickBot="1">
      <c r="A18" s="558"/>
      <c r="B18" s="551"/>
      <c r="C18" s="209"/>
      <c r="D18" s="551"/>
      <c r="E18" s="551"/>
      <c r="F18" s="551"/>
      <c r="G18" s="209"/>
      <c r="H18" s="551"/>
      <c r="I18" s="551"/>
      <c r="J18" s="551"/>
      <c r="K18" s="209"/>
      <c r="L18" s="551"/>
      <c r="M18" s="551"/>
      <c r="N18" s="551"/>
      <c r="O18" s="209"/>
      <c r="P18" s="551"/>
      <c r="Q18" s="551"/>
      <c r="R18" s="551"/>
      <c r="S18" s="551"/>
    </row>
    <row r="19" spans="1:19" ht="15">
      <c r="A19" s="1129" t="s">
        <v>1103</v>
      </c>
      <c r="B19" s="1130"/>
      <c r="C19" s="1131"/>
      <c r="D19" s="1132"/>
      <c r="E19" s="1133"/>
      <c r="F19" s="1130"/>
      <c r="G19" s="1131"/>
      <c r="H19" s="1134"/>
      <c r="I19" s="1133"/>
      <c r="J19" s="1130"/>
      <c r="K19" s="1130"/>
      <c r="L19" s="1134"/>
      <c r="M19" s="1133"/>
      <c r="N19" s="1130"/>
      <c r="O19" s="1130"/>
      <c r="P19" s="1132"/>
      <c r="Q19" s="1133"/>
      <c r="R19" s="1130"/>
      <c r="S19" s="1138"/>
    </row>
    <row r="20" spans="1:19" ht="15.75">
      <c r="A20" s="1135" t="s">
        <v>1104</v>
      </c>
      <c r="B20" s="1136">
        <v>350.1</v>
      </c>
      <c r="C20" s="1123">
        <v>6.5839999999999996E-3</v>
      </c>
      <c r="D20" s="1128">
        <v>1</v>
      </c>
      <c r="E20" s="1123">
        <v>6.6E-3</v>
      </c>
      <c r="F20" s="1127"/>
      <c r="G20" s="1123"/>
      <c r="H20" s="1124"/>
      <c r="I20" s="1125"/>
      <c r="J20" s="1127"/>
      <c r="K20" s="1123"/>
      <c r="L20" s="1124"/>
      <c r="M20" s="1125"/>
      <c r="N20" s="1127"/>
      <c r="O20" s="1123"/>
      <c r="P20" s="1128"/>
      <c r="Q20" s="1125"/>
      <c r="R20" s="1127"/>
      <c r="S20" s="1137">
        <v>6.6E-3</v>
      </c>
    </row>
    <row r="21" spans="1:19" ht="15.75">
      <c r="A21" s="1135"/>
      <c r="B21" s="1136">
        <v>351</v>
      </c>
      <c r="C21" s="1123"/>
      <c r="D21" s="1124"/>
      <c r="E21" s="1123"/>
      <c r="F21" s="1127"/>
      <c r="G21" s="1123">
        <v>0.14219999999999999</v>
      </c>
      <c r="H21" s="1124">
        <v>1</v>
      </c>
      <c r="I21" s="1123">
        <v>0.14219999999999999</v>
      </c>
      <c r="J21" s="1127"/>
      <c r="K21" s="1123"/>
      <c r="L21" s="1124"/>
      <c r="M21" s="1123"/>
      <c r="N21" s="1127"/>
      <c r="O21" s="1123"/>
      <c r="P21" s="1124"/>
      <c r="Q21" s="1123"/>
      <c r="R21" s="1127"/>
      <c r="S21" s="1137">
        <v>0.14219999999999999</v>
      </c>
    </row>
    <row r="22" spans="1:19" ht="15">
      <c r="A22" s="1126"/>
      <c r="B22" s="1136">
        <v>352</v>
      </c>
      <c r="C22" s="1123">
        <v>2.2200000000000001E-2</v>
      </c>
      <c r="D22" s="1124">
        <v>0.51122100000000004</v>
      </c>
      <c r="E22" s="1123">
        <v>1.1299999999999999E-2</v>
      </c>
      <c r="F22" s="1127"/>
      <c r="G22" s="1123">
        <v>1.6199999999999999E-2</v>
      </c>
      <c r="H22" s="1124">
        <v>0.39937400000000001</v>
      </c>
      <c r="I22" s="1123">
        <v>6.4999999999999997E-3</v>
      </c>
      <c r="J22" s="1127"/>
      <c r="K22" s="1123">
        <v>2.1899999999999999E-2</v>
      </c>
      <c r="L22" s="1124">
        <v>3.3013000000000001E-2</v>
      </c>
      <c r="M22" s="1123">
        <v>6.9999999999999999E-4</v>
      </c>
      <c r="N22" s="1127"/>
      <c r="O22" s="1123">
        <v>2.1899999999999999E-2</v>
      </c>
      <c r="P22" s="1124">
        <v>5.6391999999999998E-2</v>
      </c>
      <c r="Q22" s="1123">
        <v>1.1999999999999999E-3</v>
      </c>
      <c r="R22" s="1127"/>
      <c r="S22" s="1137">
        <v>1.9699999999999999E-2</v>
      </c>
    </row>
    <row r="23" spans="1:19" ht="15">
      <c r="A23" s="1126"/>
      <c r="B23" s="1136">
        <v>353</v>
      </c>
      <c r="C23" s="1123">
        <v>2.75E-2</v>
      </c>
      <c r="D23" s="1124">
        <v>0.51122100000000004</v>
      </c>
      <c r="E23" s="1123">
        <v>1.41E-2</v>
      </c>
      <c r="F23" s="1127"/>
      <c r="G23" s="1123">
        <v>2.3699999999999999E-2</v>
      </c>
      <c r="H23" s="1124">
        <v>0.39937400000000001</v>
      </c>
      <c r="I23" s="1123">
        <v>9.4999999999999998E-3</v>
      </c>
      <c r="J23" s="1127"/>
      <c r="K23" s="1123">
        <v>2.1899999999999999E-2</v>
      </c>
      <c r="L23" s="1124">
        <v>3.3013000000000001E-2</v>
      </c>
      <c r="M23" s="1123">
        <v>6.9999999999999999E-4</v>
      </c>
      <c r="N23" s="1127"/>
      <c r="O23" s="1123">
        <v>2.1899999999999999E-2</v>
      </c>
      <c r="P23" s="1124">
        <v>5.6391999999999998E-2</v>
      </c>
      <c r="Q23" s="1123">
        <v>1.1999999999999999E-3</v>
      </c>
      <c r="R23" s="1127"/>
      <c r="S23" s="1137">
        <v>2.5499999999999998E-2</v>
      </c>
    </row>
    <row r="24" spans="1:19" ht="15">
      <c r="A24" s="1126"/>
      <c r="B24" s="1136">
        <v>354</v>
      </c>
      <c r="C24" s="1123">
        <v>1.6299999999999999E-2</v>
      </c>
      <c r="D24" s="1124">
        <v>0.51122100000000004</v>
      </c>
      <c r="E24" s="1123">
        <v>8.3000000000000001E-3</v>
      </c>
      <c r="F24" s="1127"/>
      <c r="G24" s="1123">
        <v>1.5900000000000001E-2</v>
      </c>
      <c r="H24" s="1124">
        <v>0.39937400000000001</v>
      </c>
      <c r="I24" s="1123">
        <v>6.4000000000000003E-3</v>
      </c>
      <c r="J24" s="1127"/>
      <c r="K24" s="1123">
        <v>2.1899999999999999E-2</v>
      </c>
      <c r="L24" s="1124">
        <v>3.3013000000000001E-2</v>
      </c>
      <c r="M24" s="1123">
        <v>6.9999999999999999E-4</v>
      </c>
      <c r="N24" s="1127"/>
      <c r="O24" s="1123">
        <v>2.1899999999999999E-2</v>
      </c>
      <c r="P24" s="1124">
        <v>5.6391999999999998E-2</v>
      </c>
      <c r="Q24" s="1123">
        <v>1.1999999999999999E-3</v>
      </c>
      <c r="R24" s="1127"/>
      <c r="S24" s="1137">
        <v>1.66E-2</v>
      </c>
    </row>
    <row r="25" spans="1:19" ht="15">
      <c r="A25" s="1126"/>
      <c r="B25" s="1136">
        <v>355</v>
      </c>
      <c r="C25" s="1123">
        <v>3.7199999999999997E-2</v>
      </c>
      <c r="D25" s="1124">
        <v>0.51122100000000004</v>
      </c>
      <c r="E25" s="1123">
        <v>1.9E-2</v>
      </c>
      <c r="F25" s="1127"/>
      <c r="G25" s="1123">
        <v>2.7099999999999999E-2</v>
      </c>
      <c r="H25" s="1124">
        <v>0.39937400000000001</v>
      </c>
      <c r="I25" s="1123">
        <v>1.0800000000000001E-2</v>
      </c>
      <c r="J25" s="1127"/>
      <c r="K25" s="1123">
        <v>2.1899999999999999E-2</v>
      </c>
      <c r="L25" s="1124">
        <v>3.3013000000000001E-2</v>
      </c>
      <c r="M25" s="1123">
        <v>6.9999999999999999E-4</v>
      </c>
      <c r="N25" s="1127"/>
      <c r="O25" s="1123">
        <v>2.1899999999999999E-2</v>
      </c>
      <c r="P25" s="1124">
        <v>5.6391999999999998E-2</v>
      </c>
      <c r="Q25" s="1123">
        <v>1.1999999999999999E-3</v>
      </c>
      <c r="R25" s="1127"/>
      <c r="S25" s="1137">
        <v>3.1699999999999999E-2</v>
      </c>
    </row>
    <row r="26" spans="1:19" ht="15">
      <c r="A26" s="1126"/>
      <c r="B26" s="1136">
        <v>356</v>
      </c>
      <c r="C26" s="1123">
        <v>1.9900000000000001E-2</v>
      </c>
      <c r="D26" s="1124">
        <v>0.51122100000000004</v>
      </c>
      <c r="E26" s="1123">
        <v>1.0200000000000001E-2</v>
      </c>
      <c r="F26" s="1127"/>
      <c r="G26" s="1123">
        <v>1.5299999999999999E-2</v>
      </c>
      <c r="H26" s="1124">
        <v>0.39937400000000001</v>
      </c>
      <c r="I26" s="1123">
        <v>6.1000000000000004E-3</v>
      </c>
      <c r="J26" s="1127"/>
      <c r="K26" s="1123">
        <v>2.1899999999999999E-2</v>
      </c>
      <c r="L26" s="1124">
        <v>3.3013000000000001E-2</v>
      </c>
      <c r="M26" s="1123">
        <v>6.9999999999999999E-4</v>
      </c>
      <c r="N26" s="1127"/>
      <c r="O26" s="1123">
        <v>2.1899999999999999E-2</v>
      </c>
      <c r="P26" s="1124">
        <v>5.6391999999999998E-2</v>
      </c>
      <c r="Q26" s="1123">
        <v>1.1999999999999999E-3</v>
      </c>
      <c r="R26" s="1127"/>
      <c r="S26" s="1137">
        <v>1.8200000000000001E-2</v>
      </c>
    </row>
    <row r="27" spans="1:19" ht="15">
      <c r="A27" s="1126"/>
      <c r="B27" s="1136">
        <v>357</v>
      </c>
      <c r="C27" s="1123">
        <v>2.4E-2</v>
      </c>
      <c r="D27" s="1124">
        <v>0.51122100000000004</v>
      </c>
      <c r="E27" s="1123">
        <v>1.23E-2</v>
      </c>
      <c r="F27" s="1127"/>
      <c r="G27" s="1123">
        <v>3.7100000000000001E-2</v>
      </c>
      <c r="H27" s="1124">
        <v>0.39937400000000001</v>
      </c>
      <c r="I27" s="1123">
        <v>1.4800000000000001E-2</v>
      </c>
      <c r="J27" s="1127"/>
      <c r="K27" s="1123">
        <v>2.1899999999999999E-2</v>
      </c>
      <c r="L27" s="1124">
        <v>3.3013000000000001E-2</v>
      </c>
      <c r="M27" s="1123">
        <v>6.9999999999999999E-4</v>
      </c>
      <c r="N27" s="1127"/>
      <c r="O27" s="1123">
        <v>2.1899999999999999E-2</v>
      </c>
      <c r="P27" s="1124">
        <v>5.6391999999999998E-2</v>
      </c>
      <c r="Q27" s="1123">
        <v>1.1999999999999999E-3</v>
      </c>
      <c r="R27" s="1127"/>
      <c r="S27" s="1137">
        <v>2.9000000000000001E-2</v>
      </c>
    </row>
    <row r="28" spans="1:19" ht="15">
      <c r="A28" s="1126"/>
      <c r="B28" s="1136">
        <v>358</v>
      </c>
      <c r="C28" s="1123">
        <v>4.6399999999999997E-2</v>
      </c>
      <c r="D28" s="1124">
        <v>0.51122100000000004</v>
      </c>
      <c r="E28" s="1123">
        <v>2.3699999999999999E-2</v>
      </c>
      <c r="F28" s="1127"/>
      <c r="G28" s="1123">
        <v>5.2400000000000002E-2</v>
      </c>
      <c r="H28" s="1124">
        <v>0.39937400000000001</v>
      </c>
      <c r="I28" s="1123">
        <v>2.0899999999999998E-2</v>
      </c>
      <c r="J28" s="1127"/>
      <c r="K28" s="1123">
        <v>2.1899999999999999E-2</v>
      </c>
      <c r="L28" s="1124">
        <v>3.3013000000000001E-2</v>
      </c>
      <c r="M28" s="1123">
        <v>6.9999999999999999E-4</v>
      </c>
      <c r="N28" s="1127"/>
      <c r="O28" s="1123">
        <v>2.1899999999999999E-2</v>
      </c>
      <c r="P28" s="1124">
        <v>5.6391999999999998E-2</v>
      </c>
      <c r="Q28" s="1123">
        <v>1.1999999999999999E-3</v>
      </c>
      <c r="R28" s="1127"/>
      <c r="S28" s="1137">
        <v>4.65E-2</v>
      </c>
    </row>
    <row r="29" spans="1:19" ht="15.75" thickBot="1">
      <c r="A29" s="550"/>
      <c r="B29" s="551"/>
      <c r="C29" s="209"/>
      <c r="D29" s="973"/>
      <c r="E29" s="215"/>
      <c r="F29" s="551"/>
      <c r="G29" s="209"/>
      <c r="H29" s="973"/>
      <c r="I29" s="215"/>
      <c r="J29" s="551"/>
      <c r="K29" s="209"/>
      <c r="L29" s="973"/>
      <c r="M29" s="215"/>
      <c r="N29" s="551"/>
      <c r="O29" s="209"/>
      <c r="P29" s="973"/>
      <c r="Q29" s="209"/>
      <c r="R29" s="551"/>
      <c r="S29" s="209"/>
    </row>
    <row r="30" spans="1:19" ht="15">
      <c r="A30" s="1143" t="s">
        <v>903</v>
      </c>
      <c r="B30" s="1144"/>
      <c r="C30" s="1145"/>
      <c r="D30" s="1146"/>
      <c r="E30" s="1147"/>
      <c r="F30" s="1144"/>
      <c r="G30" s="1145"/>
      <c r="H30" s="1146"/>
      <c r="I30" s="1147"/>
      <c r="J30" s="1144"/>
      <c r="K30" s="1144"/>
      <c r="L30" s="1146"/>
      <c r="M30" s="1147"/>
      <c r="N30" s="1144"/>
      <c r="O30" s="1144"/>
      <c r="P30" s="1146"/>
      <c r="Q30" s="1147"/>
      <c r="R30" s="1144"/>
      <c r="S30" s="1151"/>
    </row>
    <row r="31" spans="1:19" ht="15">
      <c r="A31" s="1141"/>
      <c r="B31" s="1148">
        <v>390</v>
      </c>
      <c r="C31" s="1139">
        <v>2.06E-2</v>
      </c>
      <c r="D31" s="1149">
        <v>0.523756</v>
      </c>
      <c r="E31" s="1139">
        <v>1.0800000000000001E-2</v>
      </c>
      <c r="F31" s="1142"/>
      <c r="G31" s="1139">
        <v>1.9099999999999999E-2</v>
      </c>
      <c r="H31" s="1149">
        <v>0.42593999999999999</v>
      </c>
      <c r="I31" s="1139">
        <v>8.0999999999999996E-3</v>
      </c>
      <c r="J31" s="1142"/>
      <c r="K31" s="1139">
        <v>3.4300000000000004E-2</v>
      </c>
      <c r="L31" s="1149">
        <v>1.9295E-2</v>
      </c>
      <c r="M31" s="1139">
        <v>6.9999999999999999E-4</v>
      </c>
      <c r="N31" s="1142"/>
      <c r="O31" s="1139">
        <v>3.4300000000000004E-2</v>
      </c>
      <c r="P31" s="1149">
        <v>3.1008999999999998E-2</v>
      </c>
      <c r="Q31" s="1139">
        <v>1.1000000000000001E-3</v>
      </c>
      <c r="R31" s="1142"/>
      <c r="S31" s="1150">
        <v>2.07E-2</v>
      </c>
    </row>
    <row r="32" spans="1:19" ht="15">
      <c r="A32" s="1141"/>
      <c r="B32" s="1148">
        <v>391</v>
      </c>
      <c r="C32" s="1139">
        <v>3.2500000000000001E-2</v>
      </c>
      <c r="D32" s="1140">
        <v>0.523756</v>
      </c>
      <c r="E32" s="1139">
        <v>1.7000000000000001E-2</v>
      </c>
      <c r="F32" s="1142"/>
      <c r="G32" s="1139">
        <v>3.1699999999999999E-2</v>
      </c>
      <c r="H32" s="1140">
        <v>0.42593999999999999</v>
      </c>
      <c r="I32" s="1139">
        <v>1.35E-2</v>
      </c>
      <c r="J32" s="1142"/>
      <c r="K32" s="1139">
        <v>3.4300000000000004E-2</v>
      </c>
      <c r="L32" s="1140">
        <v>1.9295E-2</v>
      </c>
      <c r="M32" s="1139">
        <v>6.9999999999999999E-4</v>
      </c>
      <c r="N32" s="1142"/>
      <c r="O32" s="1139">
        <v>3.4300000000000004E-2</v>
      </c>
      <c r="P32" s="1140">
        <v>3.1008999999999998E-2</v>
      </c>
      <c r="Q32" s="1139">
        <v>1.1000000000000001E-3</v>
      </c>
      <c r="R32" s="1142"/>
      <c r="S32" s="1150">
        <v>3.2300000000000002E-2</v>
      </c>
    </row>
    <row r="33" spans="1:19" ht="15">
      <c r="A33" s="1141"/>
      <c r="B33" s="1148">
        <v>392</v>
      </c>
      <c r="C33" s="1139">
        <v>3.4500000000000003E-2</v>
      </c>
      <c r="D33" s="1140">
        <v>0.523756</v>
      </c>
      <c r="E33" s="1139">
        <v>1.8100000000000002E-2</v>
      </c>
      <c r="F33" s="1142"/>
      <c r="G33" s="1139">
        <v>3.4000000000000002E-2</v>
      </c>
      <c r="H33" s="1140">
        <v>0.42593999999999999</v>
      </c>
      <c r="I33" s="1139">
        <v>1.4500000000000001E-2</v>
      </c>
      <c r="J33" s="1142"/>
      <c r="K33" s="1139">
        <v>3.4300000000000004E-2</v>
      </c>
      <c r="L33" s="1140">
        <v>1.9295E-2</v>
      </c>
      <c r="M33" s="1139">
        <v>6.9999999999999999E-4</v>
      </c>
      <c r="N33" s="1142"/>
      <c r="O33" s="1139">
        <v>3.4300000000000004E-2</v>
      </c>
      <c r="P33" s="1140">
        <v>3.1008999999999998E-2</v>
      </c>
      <c r="Q33" s="1139">
        <v>1.1000000000000001E-3</v>
      </c>
      <c r="R33" s="1142"/>
      <c r="S33" s="1150">
        <v>3.44E-2</v>
      </c>
    </row>
    <row r="34" spans="1:19" ht="15">
      <c r="A34" s="1141"/>
      <c r="B34" s="1148">
        <v>393</v>
      </c>
      <c r="C34" s="1139">
        <v>1.78E-2</v>
      </c>
      <c r="D34" s="1140">
        <v>0.523756</v>
      </c>
      <c r="E34" s="1139">
        <v>9.2999999999999992E-3</v>
      </c>
      <c r="F34" s="1142"/>
      <c r="G34" s="1139">
        <v>1.7999999999999999E-2</v>
      </c>
      <c r="H34" s="1140">
        <v>0.42593999999999999</v>
      </c>
      <c r="I34" s="1139">
        <v>7.7000000000000002E-3</v>
      </c>
      <c r="J34" s="1142"/>
      <c r="K34" s="1139">
        <v>3.4300000000000004E-2</v>
      </c>
      <c r="L34" s="1140">
        <v>1.9295E-2</v>
      </c>
      <c r="M34" s="1139">
        <v>6.9999999999999999E-4</v>
      </c>
      <c r="N34" s="1142"/>
      <c r="O34" s="1139">
        <v>3.4300000000000004E-2</v>
      </c>
      <c r="P34" s="1140">
        <v>3.1008999999999998E-2</v>
      </c>
      <c r="Q34" s="1139">
        <v>1.1000000000000001E-3</v>
      </c>
      <c r="R34" s="1142"/>
      <c r="S34" s="1150">
        <v>1.8800000000000001E-2</v>
      </c>
    </row>
    <row r="35" spans="1:19" ht="15.75" customHeight="1">
      <c r="A35" s="1141"/>
      <c r="B35" s="1148">
        <v>394</v>
      </c>
      <c r="C35" s="1139">
        <v>2.5899999999999999E-2</v>
      </c>
      <c r="D35" s="1140">
        <v>0.523756</v>
      </c>
      <c r="E35" s="1139">
        <v>1.3599999999999999E-2</v>
      </c>
      <c r="F35" s="1142"/>
      <c r="G35" s="1139">
        <v>2.5700000000000001E-2</v>
      </c>
      <c r="H35" s="1140">
        <v>0.42593999999999999</v>
      </c>
      <c r="I35" s="1139">
        <v>1.09E-2</v>
      </c>
      <c r="J35" s="1142"/>
      <c r="K35" s="1139">
        <v>3.4300000000000004E-2</v>
      </c>
      <c r="L35" s="1140">
        <v>1.9295E-2</v>
      </c>
      <c r="M35" s="1139">
        <v>6.9999999999999999E-4</v>
      </c>
      <c r="N35" s="1142"/>
      <c r="O35" s="1139">
        <v>3.4300000000000004E-2</v>
      </c>
      <c r="P35" s="1140">
        <v>3.1008999999999998E-2</v>
      </c>
      <c r="Q35" s="1139">
        <v>1.1000000000000001E-3</v>
      </c>
      <c r="R35" s="1142"/>
      <c r="S35" s="1150">
        <v>2.63E-2</v>
      </c>
    </row>
    <row r="36" spans="1:19" ht="15.75" customHeight="1">
      <c r="A36" s="1141"/>
      <c r="B36" s="1148">
        <v>395</v>
      </c>
      <c r="C36" s="1139">
        <v>3.5000000000000003E-2</v>
      </c>
      <c r="D36" s="1140">
        <v>0.523756</v>
      </c>
      <c r="E36" s="1139">
        <v>1.83E-2</v>
      </c>
      <c r="F36" s="1142"/>
      <c r="G36" s="1139">
        <v>4.0099999999999997E-2</v>
      </c>
      <c r="H36" s="1140">
        <v>0.42593999999999999</v>
      </c>
      <c r="I36" s="1139">
        <v>1.7100000000000001E-2</v>
      </c>
      <c r="J36" s="1142"/>
      <c r="K36" s="1139">
        <v>3.4300000000000004E-2</v>
      </c>
      <c r="L36" s="1140">
        <v>1.9295E-2</v>
      </c>
      <c r="M36" s="1139">
        <v>6.9999999999999999E-4</v>
      </c>
      <c r="N36" s="1142"/>
      <c r="O36" s="1139">
        <v>3.4300000000000004E-2</v>
      </c>
      <c r="P36" s="1140">
        <v>3.1008999999999998E-2</v>
      </c>
      <c r="Q36" s="1139">
        <v>1.1000000000000001E-3</v>
      </c>
      <c r="R36" s="1142"/>
      <c r="S36" s="1150">
        <v>3.7199999999999997E-2</v>
      </c>
    </row>
    <row r="37" spans="1:19" ht="15.75" customHeight="1">
      <c r="A37" s="1141"/>
      <c r="B37" s="1148">
        <v>396</v>
      </c>
      <c r="C37" s="1139">
        <v>4.1599999999999998E-2</v>
      </c>
      <c r="D37" s="1140">
        <v>0.523756</v>
      </c>
      <c r="E37" s="1139">
        <v>2.18E-2</v>
      </c>
      <c r="F37" s="1142"/>
      <c r="G37" s="1139">
        <v>3.9E-2</v>
      </c>
      <c r="H37" s="1140">
        <v>0.42593999999999999</v>
      </c>
      <c r="I37" s="1139">
        <v>1.66E-2</v>
      </c>
      <c r="J37" s="1142"/>
      <c r="K37" s="1139">
        <v>3.4300000000000004E-2</v>
      </c>
      <c r="L37" s="1140">
        <v>1.9295E-2</v>
      </c>
      <c r="M37" s="1139">
        <v>6.9999999999999999E-4</v>
      </c>
      <c r="N37" s="1142"/>
      <c r="O37" s="1139">
        <v>3.4300000000000004E-2</v>
      </c>
      <c r="P37" s="1140">
        <v>3.1008999999999998E-2</v>
      </c>
      <c r="Q37" s="1139">
        <v>1.1000000000000001E-3</v>
      </c>
      <c r="R37" s="1142"/>
      <c r="S37" s="1150">
        <v>4.02E-2</v>
      </c>
    </row>
    <row r="38" spans="1:19" ht="15">
      <c r="A38" s="1141"/>
      <c r="B38" s="1148">
        <v>397</v>
      </c>
      <c r="C38" s="1139">
        <v>5.0200000000000002E-2</v>
      </c>
      <c r="D38" s="1140">
        <v>0.523756</v>
      </c>
      <c r="E38" s="1139">
        <v>2.63E-2</v>
      </c>
      <c r="F38" s="1142"/>
      <c r="G38" s="1139">
        <v>4.9799999999999997E-2</v>
      </c>
      <c r="H38" s="1140">
        <v>0.42593999999999999</v>
      </c>
      <c r="I38" s="1139">
        <v>2.12E-2</v>
      </c>
      <c r="J38" s="1142"/>
      <c r="K38" s="1139">
        <v>3.4300000000000004E-2</v>
      </c>
      <c r="L38" s="1140">
        <v>1.9295E-2</v>
      </c>
      <c r="M38" s="1139">
        <v>6.9999999999999999E-4</v>
      </c>
      <c r="N38" s="1142"/>
      <c r="O38" s="1139">
        <v>3.4300000000000004E-2</v>
      </c>
      <c r="P38" s="1140">
        <v>3.1008999999999998E-2</v>
      </c>
      <c r="Q38" s="1139">
        <v>1.1000000000000001E-3</v>
      </c>
      <c r="R38" s="1142"/>
      <c r="S38" s="1150">
        <v>4.9299999999999997E-2</v>
      </c>
    </row>
    <row r="39" spans="1:19" ht="15">
      <c r="A39" s="1141"/>
      <c r="B39" s="1148">
        <v>398</v>
      </c>
      <c r="C39" s="1139">
        <v>2.7099999999999999E-2</v>
      </c>
      <c r="D39" s="1140">
        <v>0.523756</v>
      </c>
      <c r="E39" s="1139">
        <v>1.4200000000000001E-2</v>
      </c>
      <c r="F39" s="1142"/>
      <c r="G39" s="1139">
        <v>2.7E-2</v>
      </c>
      <c r="H39" s="1140">
        <v>0.42593999999999999</v>
      </c>
      <c r="I39" s="1139">
        <v>1.15E-2</v>
      </c>
      <c r="J39" s="1142"/>
      <c r="K39" s="1139">
        <v>3.4300000000000004E-2</v>
      </c>
      <c r="L39" s="1140">
        <v>1.9295E-2</v>
      </c>
      <c r="M39" s="1139">
        <v>6.9999999999999999E-4</v>
      </c>
      <c r="N39" s="1142"/>
      <c r="O39" s="1139">
        <v>3.4300000000000004E-2</v>
      </c>
      <c r="P39" s="1140">
        <v>3.1008999999999998E-2</v>
      </c>
      <c r="Q39" s="1139">
        <v>1.1000000000000001E-3</v>
      </c>
      <c r="R39" s="1142"/>
      <c r="S39" s="1150">
        <v>2.75E-2</v>
      </c>
    </row>
    <row r="40" spans="1:19" ht="15.75" thickBot="1">
      <c r="A40" s="968"/>
      <c r="B40" s="969"/>
      <c r="C40" s="970"/>
      <c r="D40" s="971"/>
      <c r="E40" s="972"/>
      <c r="F40" s="969"/>
      <c r="G40" s="972"/>
      <c r="H40" s="971"/>
      <c r="I40" s="972"/>
      <c r="J40" s="969"/>
      <c r="K40" s="970"/>
      <c r="L40" s="971"/>
      <c r="M40" s="972"/>
      <c r="N40" s="969"/>
      <c r="O40" s="970"/>
      <c r="P40" s="971"/>
      <c r="Q40" s="972"/>
      <c r="R40" s="969"/>
      <c r="S40" s="972"/>
    </row>
    <row r="41" spans="1:19" ht="15">
      <c r="A41" s="550"/>
      <c r="B41" s="551"/>
      <c r="C41" s="209"/>
      <c r="D41" s="550"/>
      <c r="E41" s="550"/>
      <c r="F41" s="550"/>
      <c r="G41" s="215"/>
      <c r="H41" s="550"/>
      <c r="I41" s="550"/>
      <c r="J41" s="550"/>
      <c r="K41" s="550"/>
      <c r="L41" s="550"/>
      <c r="M41" s="550"/>
      <c r="N41" s="550"/>
      <c r="O41" s="550"/>
      <c r="P41" s="550"/>
      <c r="Q41" s="550"/>
      <c r="R41" s="550"/>
      <c r="S41" s="550"/>
    </row>
    <row r="42" spans="1:19" ht="15" customHeight="1">
      <c r="A42" s="1330" t="s">
        <v>1105</v>
      </c>
      <c r="B42" s="1330"/>
      <c r="C42" s="1330"/>
      <c r="D42" s="1330"/>
      <c r="E42" s="1152"/>
      <c r="F42" s="1162" t="s">
        <v>123</v>
      </c>
      <c r="G42" s="1155" t="s">
        <v>991</v>
      </c>
      <c r="H42" s="1153"/>
      <c r="I42" s="1152"/>
      <c r="J42" s="1152"/>
      <c r="K42" s="1152"/>
      <c r="L42" s="1160" t="s">
        <v>606</v>
      </c>
      <c r="M42" s="1152" t="s">
        <v>1106</v>
      </c>
      <c r="N42" s="1152"/>
      <c r="O42" s="1152"/>
      <c r="P42" s="1152"/>
      <c r="Q42" s="1152"/>
      <c r="R42" s="1152"/>
      <c r="S42" s="1152"/>
    </row>
    <row r="43" spans="1:19" ht="15">
      <c r="A43" s="1330"/>
      <c r="B43" s="1330"/>
      <c r="C43" s="1330"/>
      <c r="D43" s="1330"/>
      <c r="E43" s="1152"/>
      <c r="F43" s="1162"/>
      <c r="G43" s="1152"/>
      <c r="H43" s="1153"/>
      <c r="I43" s="1152"/>
      <c r="J43" s="1152"/>
      <c r="K43" s="1152"/>
      <c r="L43" s="1152"/>
      <c r="M43" s="1152" t="s">
        <v>1107</v>
      </c>
      <c r="N43" s="1152"/>
      <c r="O43" s="1152"/>
      <c r="P43" s="1152"/>
      <c r="Q43" s="1152"/>
      <c r="R43" s="1152"/>
      <c r="S43" s="1152"/>
    </row>
    <row r="44" spans="1:19" ht="15" customHeight="1">
      <c r="A44" s="1330"/>
      <c r="B44" s="1330"/>
      <c r="C44" s="1330"/>
      <c r="D44" s="1330"/>
      <c r="E44" s="1152"/>
      <c r="F44" s="1159"/>
      <c r="G44" s="1152"/>
      <c r="H44" s="1153"/>
      <c r="I44" s="1152"/>
      <c r="J44" s="1152"/>
      <c r="K44" s="1152"/>
      <c r="L44" s="1152"/>
      <c r="M44" s="1152" t="s">
        <v>607</v>
      </c>
      <c r="N44" s="1152"/>
      <c r="O44" s="1152"/>
      <c r="P44" s="1152"/>
      <c r="Q44" s="1152"/>
      <c r="R44" s="1152"/>
      <c r="S44" s="1152"/>
    </row>
    <row r="45" spans="1:19" ht="15">
      <c r="A45" s="1330"/>
      <c r="B45" s="1330"/>
      <c r="C45" s="1330"/>
      <c r="D45" s="1330"/>
      <c r="E45" s="1152"/>
      <c r="F45" s="1160" t="s">
        <v>605</v>
      </c>
      <c r="G45" s="1155" t="s">
        <v>992</v>
      </c>
      <c r="H45" s="1152"/>
      <c r="I45" s="1152"/>
      <c r="J45" s="1152"/>
      <c r="K45" s="1152"/>
      <c r="L45" s="1152"/>
      <c r="M45" s="1152"/>
      <c r="N45" s="1152"/>
      <c r="O45" s="1152"/>
      <c r="P45" s="1152"/>
      <c r="Q45" s="1152"/>
      <c r="R45" s="1152"/>
      <c r="S45" s="1152"/>
    </row>
    <row r="46" spans="1:19" ht="15.75" customHeight="1">
      <c r="A46" s="1330"/>
      <c r="B46" s="1330"/>
      <c r="C46" s="1330"/>
      <c r="D46" s="1330"/>
      <c r="E46" s="1152"/>
      <c r="F46" s="1159"/>
      <c r="G46" s="1152"/>
      <c r="H46" s="1153"/>
      <c r="I46" s="1152"/>
      <c r="J46" s="1152"/>
      <c r="K46" s="1152"/>
      <c r="L46" s="1160" t="s">
        <v>608</v>
      </c>
      <c r="M46" s="1152" t="s">
        <v>995</v>
      </c>
      <c r="N46" s="1152"/>
      <c r="O46" s="1152"/>
      <c r="P46" s="1152"/>
      <c r="Q46" s="1152"/>
      <c r="R46" s="1152"/>
      <c r="S46" s="1152"/>
    </row>
    <row r="47" spans="1:19" ht="15.75" customHeight="1">
      <c r="A47" s="1152" t="s">
        <v>1108</v>
      </c>
      <c r="B47" s="1157"/>
      <c r="C47" s="1158"/>
      <c r="D47" s="1157"/>
      <c r="E47" s="1157"/>
      <c r="F47" s="1160"/>
      <c r="G47" s="1152"/>
      <c r="H47" s="1153"/>
      <c r="I47" s="1152"/>
      <c r="J47" s="1152"/>
      <c r="K47" s="1152"/>
      <c r="L47" s="1152"/>
      <c r="M47" s="1152" t="s">
        <v>996</v>
      </c>
      <c r="N47" s="1152"/>
      <c r="O47" s="1152"/>
      <c r="P47" s="1152"/>
      <c r="Q47" s="1152"/>
      <c r="R47" s="1152"/>
      <c r="S47" s="1152"/>
    </row>
    <row r="48" spans="1:19" ht="15.75" customHeight="1">
      <c r="A48" s="1152"/>
      <c r="B48" s="1157"/>
      <c r="C48" s="1158"/>
      <c r="D48" s="1156"/>
      <c r="E48" s="1156"/>
      <c r="F48" s="1161"/>
      <c r="G48" s="1152"/>
      <c r="H48" s="1152"/>
      <c r="I48" s="1152"/>
      <c r="J48" s="1152"/>
      <c r="K48" s="1152"/>
      <c r="L48" s="1152"/>
      <c r="M48" s="1152"/>
      <c r="N48" s="1152"/>
      <c r="O48" s="1154"/>
      <c r="P48" s="1152"/>
      <c r="Q48" s="1152"/>
      <c r="R48" s="1152"/>
      <c r="S48" s="1152"/>
    </row>
    <row r="49" spans="1:19" ht="15.75">
      <c r="A49" s="1152" t="s">
        <v>993</v>
      </c>
      <c r="B49" s="1157"/>
      <c r="C49" s="1158"/>
      <c r="D49" s="1157"/>
      <c r="E49" s="1157"/>
      <c r="F49" s="1152"/>
      <c r="G49" s="1152"/>
      <c r="H49" s="1152"/>
      <c r="I49" s="1152"/>
      <c r="J49" s="1152"/>
      <c r="K49" s="1152"/>
      <c r="L49" s="1160" t="s">
        <v>1109</v>
      </c>
      <c r="M49" s="1329" t="s">
        <v>1110</v>
      </c>
      <c r="N49" s="1329"/>
      <c r="O49" s="1329"/>
      <c r="P49" s="1329"/>
      <c r="Q49" s="1329"/>
      <c r="R49" s="1329"/>
      <c r="S49" s="1329"/>
    </row>
    <row r="50" spans="1:19" ht="15.75" customHeight="1">
      <c r="A50" s="1152" t="s">
        <v>994</v>
      </c>
      <c r="B50" s="1157"/>
      <c r="C50" s="1158"/>
      <c r="D50" s="1157"/>
      <c r="E50" s="1157"/>
      <c r="F50" s="1152"/>
      <c r="G50" s="1152"/>
      <c r="H50" s="1152"/>
      <c r="I50" s="1152"/>
      <c r="J50" s="1152"/>
      <c r="K50" s="1152"/>
      <c r="L50" s="1152"/>
      <c r="M50" s="1329"/>
      <c r="N50" s="1329"/>
      <c r="O50" s="1329"/>
      <c r="P50" s="1329"/>
      <c r="Q50" s="1329"/>
      <c r="R50" s="1329"/>
      <c r="S50" s="1329"/>
    </row>
    <row r="51" spans="1:19" ht="15.75">
      <c r="A51" s="1152"/>
      <c r="B51" s="1157"/>
      <c r="C51" s="1158"/>
      <c r="D51" s="1156"/>
      <c r="E51" s="1156"/>
      <c r="F51" s="1152"/>
      <c r="G51" s="1152"/>
      <c r="H51" s="1152"/>
      <c r="I51" s="1152"/>
      <c r="J51" s="1152"/>
      <c r="K51" s="1152"/>
      <c r="L51" s="1152"/>
      <c r="M51" s="1329"/>
      <c r="N51" s="1329"/>
      <c r="O51" s="1329"/>
      <c r="P51" s="1329"/>
      <c r="Q51" s="1329"/>
      <c r="R51" s="1329"/>
      <c r="S51" s="1329"/>
    </row>
    <row r="52" spans="1:19" ht="15">
      <c r="A52" s="845"/>
      <c r="B52" s="846"/>
      <c r="C52" s="846"/>
      <c r="D52" s="847"/>
      <c r="E52" s="550"/>
      <c r="F52" s="550"/>
      <c r="G52" s="215"/>
      <c r="H52" s="550"/>
      <c r="I52" s="550"/>
      <c r="J52" s="550"/>
      <c r="K52" s="550"/>
      <c r="L52" s="550"/>
      <c r="M52" s="550"/>
      <c r="N52" s="550"/>
      <c r="O52" s="559"/>
      <c r="P52" s="550"/>
      <c r="Q52" s="550"/>
      <c r="R52" s="550"/>
      <c r="S52" s="550"/>
    </row>
    <row r="53" spans="1:19" ht="15" customHeight="1">
      <c r="A53" s="1328"/>
      <c r="B53" s="1328"/>
      <c r="C53" s="1328"/>
      <c r="D53" s="1328"/>
      <c r="E53" s="1328"/>
      <c r="F53" s="1328"/>
      <c r="G53" s="1328"/>
      <c r="H53" s="1328"/>
      <c r="I53" s="1328"/>
      <c r="J53" s="1328"/>
      <c r="K53" s="1328"/>
      <c r="L53" s="1328"/>
      <c r="M53" s="1328"/>
      <c r="N53" s="1328"/>
      <c r="O53" s="550"/>
      <c r="P53" s="550"/>
      <c r="Q53" s="550"/>
      <c r="R53" s="550"/>
      <c r="S53" s="550"/>
    </row>
    <row r="54" spans="1:19" ht="15">
      <c r="A54" s="1328"/>
      <c r="B54" s="1328"/>
      <c r="C54" s="1328"/>
      <c r="D54" s="1328"/>
      <c r="E54" s="1328"/>
      <c r="F54" s="1328"/>
      <c r="G54" s="1328"/>
      <c r="H54" s="1328"/>
      <c r="I54" s="1328"/>
      <c r="J54" s="1328"/>
      <c r="K54" s="1328"/>
      <c r="L54" s="1328"/>
      <c r="M54" s="1328"/>
      <c r="N54" s="1328"/>
      <c r="O54" s="550"/>
      <c r="P54" s="550"/>
      <c r="Q54" s="550"/>
      <c r="R54" s="550"/>
      <c r="S54" s="550"/>
    </row>
    <row r="55" spans="1:19" ht="15" customHeight="1">
      <c r="A55" s="1227"/>
      <c r="B55" s="1227"/>
      <c r="C55" s="1227"/>
      <c r="D55" s="1227"/>
      <c r="E55" s="1227"/>
      <c r="F55" s="1227"/>
      <c r="G55" s="1227"/>
      <c r="H55" s="1227"/>
      <c r="I55" s="1227"/>
      <c r="J55" s="1227"/>
      <c r="K55" s="1227"/>
      <c r="L55" s="1227"/>
      <c r="M55" s="1227"/>
      <c r="N55" s="1227"/>
      <c r="O55" s="550"/>
      <c r="P55" s="550"/>
      <c r="Q55" s="550"/>
      <c r="R55" s="550"/>
      <c r="S55" s="550"/>
    </row>
    <row r="56" spans="1:19" ht="15">
      <c r="A56" s="1227"/>
      <c r="B56" s="1227"/>
      <c r="C56" s="1227"/>
      <c r="D56" s="1227"/>
      <c r="E56" s="1227"/>
      <c r="F56" s="1227"/>
      <c r="G56" s="1227"/>
      <c r="H56" s="1227"/>
      <c r="I56" s="1227"/>
      <c r="J56" s="1227"/>
      <c r="K56" s="1227"/>
      <c r="L56" s="1227"/>
      <c r="M56" s="1227"/>
      <c r="N56" s="1227"/>
      <c r="O56" s="550"/>
      <c r="P56" s="550"/>
      <c r="Q56" s="550"/>
      <c r="R56" s="550"/>
      <c r="S56" s="550"/>
    </row>
  </sheetData>
  <mergeCells count="16">
    <mergeCell ref="A3:O3"/>
    <mergeCell ref="A4:O4"/>
    <mergeCell ref="A5:O5"/>
    <mergeCell ref="A6:O6"/>
    <mergeCell ref="A7:O7"/>
    <mergeCell ref="A55:N56"/>
    <mergeCell ref="A53:N54"/>
    <mergeCell ref="M49:S51"/>
    <mergeCell ref="A42:D46"/>
    <mergeCell ref="A8:O8"/>
    <mergeCell ref="A9:O9"/>
    <mergeCell ref="A10:O10"/>
    <mergeCell ref="C12:E12"/>
    <mergeCell ref="G12:I12"/>
    <mergeCell ref="K12:M12"/>
    <mergeCell ref="O12:Q12"/>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K58"/>
  <sheetViews>
    <sheetView view="pageBreakPreview" topLeftCell="A17" zoomScale="60" zoomScaleNormal="70" workbookViewId="0">
      <selection activeCell="A2" sqref="A2"/>
    </sheetView>
  </sheetViews>
  <sheetFormatPr defaultColWidth="9.140625" defaultRowHeight="12.75"/>
  <cols>
    <col min="1" max="1" width="34.28515625" style="835" customWidth="1"/>
    <col min="2" max="2" width="9.140625" style="835"/>
    <col min="3" max="3" width="11.85546875" style="835" customWidth="1"/>
    <col min="4" max="4" width="18.28515625" style="835" customWidth="1"/>
    <col min="5" max="5" width="12.5703125" style="835" customWidth="1"/>
    <col min="6" max="6" width="9.140625" style="835"/>
    <col min="7" max="7" width="12.140625" style="835" customWidth="1"/>
    <col min="8" max="8" width="18.85546875" style="835" customWidth="1"/>
    <col min="9" max="9" width="15.5703125" style="835" bestFit="1" customWidth="1"/>
    <col min="10" max="16384" width="9.140625" style="835"/>
  </cols>
  <sheetData>
    <row r="1" spans="1:11" s="550" customFormat="1" ht="15.75">
      <c r="A1" s="645" t="s">
        <v>114</v>
      </c>
      <c r="G1" s="215"/>
    </row>
    <row r="2" spans="1:11" s="550" customFormat="1" ht="15.75">
      <c r="A2" s="645" t="s">
        <v>114</v>
      </c>
      <c r="G2" s="215"/>
    </row>
    <row r="3" spans="1:11" ht="19.5">
      <c r="A3" s="1331" t="s">
        <v>391</v>
      </c>
      <c r="B3" s="1331"/>
      <c r="C3" s="1331"/>
      <c r="D3" s="1331"/>
      <c r="E3" s="1331"/>
      <c r="F3" s="1331"/>
      <c r="G3" s="1331"/>
      <c r="H3" s="1331"/>
      <c r="I3" s="1331"/>
      <c r="J3" s="1331"/>
      <c r="K3" s="1331"/>
    </row>
    <row r="4" spans="1:11" ht="19.5">
      <c r="A4" s="1331" t="s">
        <v>392</v>
      </c>
      <c r="B4" s="1331"/>
      <c r="C4" s="1331"/>
      <c r="D4" s="1331"/>
      <c r="E4" s="1331"/>
      <c r="F4" s="1331"/>
      <c r="G4" s="1331"/>
      <c r="H4" s="1331"/>
      <c r="I4" s="1331"/>
      <c r="J4" s="1331"/>
      <c r="K4" s="1331"/>
    </row>
    <row r="5" spans="1:11" ht="19.5">
      <c r="A5" s="1331" t="s">
        <v>393</v>
      </c>
      <c r="B5" s="1331"/>
      <c r="C5" s="1331"/>
      <c r="D5" s="1331"/>
      <c r="E5" s="1331"/>
      <c r="F5" s="1331"/>
      <c r="G5" s="1331"/>
      <c r="H5" s="1331"/>
      <c r="I5" s="1331"/>
      <c r="J5" s="1331"/>
      <c r="K5" s="1331"/>
    </row>
    <row r="6" spans="1:11" ht="19.5">
      <c r="A6" s="1331" t="s">
        <v>394</v>
      </c>
      <c r="B6" s="1331"/>
      <c r="C6" s="1331"/>
      <c r="D6" s="1331"/>
      <c r="E6" s="1331"/>
      <c r="F6" s="1331"/>
      <c r="G6" s="1331"/>
      <c r="H6" s="1331"/>
      <c r="I6" s="1331"/>
      <c r="J6" s="1331"/>
      <c r="K6" s="1331"/>
    </row>
    <row r="7" spans="1:11" ht="19.5">
      <c r="A7" s="1331" t="s">
        <v>1112</v>
      </c>
      <c r="B7" s="1331"/>
      <c r="C7" s="1331"/>
      <c r="D7" s="1331"/>
      <c r="E7" s="1331"/>
      <c r="F7" s="1331"/>
      <c r="G7" s="1331"/>
      <c r="H7" s="1331"/>
      <c r="I7" s="1331"/>
      <c r="J7" s="1331"/>
      <c r="K7" s="1331"/>
    </row>
    <row r="8" spans="1:11" ht="19.5">
      <c r="A8" s="1331" t="s">
        <v>395</v>
      </c>
      <c r="B8" s="1331"/>
      <c r="C8" s="1331"/>
      <c r="D8" s="1331"/>
      <c r="E8" s="1331"/>
      <c r="F8" s="1331"/>
      <c r="G8" s="1331"/>
      <c r="H8" s="1331"/>
      <c r="I8" s="1331"/>
      <c r="J8" s="1331"/>
      <c r="K8" s="1331"/>
    </row>
    <row r="9" spans="1:11" ht="19.5">
      <c r="A9" s="1331" t="s">
        <v>763</v>
      </c>
      <c r="B9" s="1331"/>
      <c r="C9" s="1331"/>
      <c r="D9" s="1331"/>
      <c r="E9" s="1331"/>
      <c r="F9" s="1331"/>
      <c r="G9" s="1331"/>
      <c r="H9" s="1331"/>
      <c r="I9" s="1331"/>
      <c r="J9" s="1331"/>
      <c r="K9" s="1331"/>
    </row>
    <row r="10" spans="1:11" ht="19.5">
      <c r="A10" s="1336"/>
      <c r="B10" s="1336"/>
      <c r="C10" s="1336"/>
      <c r="D10" s="1336"/>
      <c r="E10" s="1336"/>
      <c r="F10" s="1336"/>
      <c r="G10" s="1336"/>
      <c r="H10" s="1336"/>
      <c r="I10" s="1336"/>
      <c r="J10" s="1336"/>
      <c r="K10" s="1336"/>
    </row>
    <row r="11" spans="1:11" ht="16.5" thickBot="1">
      <c r="A11" s="836"/>
      <c r="B11" s="836"/>
      <c r="C11" s="1334" t="s">
        <v>764</v>
      </c>
      <c r="D11" s="1334"/>
      <c r="E11" s="1334"/>
      <c r="F11" s="836"/>
      <c r="G11" s="1334" t="s">
        <v>997</v>
      </c>
      <c r="H11" s="1334"/>
      <c r="I11" s="1334"/>
      <c r="J11" s="836"/>
      <c r="K11" s="1029" t="s">
        <v>397</v>
      </c>
    </row>
    <row r="12" spans="1:11" ht="15.75">
      <c r="A12" s="837"/>
      <c r="B12" s="836"/>
      <c r="C12" s="552" t="s">
        <v>121</v>
      </c>
      <c r="D12" s="838"/>
      <c r="E12" s="838"/>
      <c r="F12" s="838"/>
      <c r="G12" s="554" t="s">
        <v>122</v>
      </c>
      <c r="H12" s="555"/>
      <c r="I12" s="555"/>
      <c r="J12" s="555"/>
      <c r="K12" s="555"/>
    </row>
    <row r="13" spans="1:11" ht="15">
      <c r="A13" s="836"/>
      <c r="B13" s="836"/>
      <c r="C13" s="552" t="s">
        <v>114</v>
      </c>
      <c r="D13" s="838"/>
      <c r="E13" s="552" t="s">
        <v>398</v>
      </c>
      <c r="F13" s="838"/>
      <c r="G13" s="554" t="s">
        <v>765</v>
      </c>
      <c r="H13" s="838"/>
      <c r="I13" s="552" t="s">
        <v>398</v>
      </c>
      <c r="J13" s="838"/>
      <c r="K13" s="552" t="s">
        <v>398</v>
      </c>
    </row>
    <row r="14" spans="1:11" ht="15">
      <c r="A14" s="836"/>
      <c r="B14" s="552" t="s">
        <v>399</v>
      </c>
      <c r="C14" s="552" t="s">
        <v>766</v>
      </c>
      <c r="D14" s="552" t="s">
        <v>400</v>
      </c>
      <c r="E14" s="552" t="s">
        <v>401</v>
      </c>
      <c r="F14" s="838"/>
      <c r="G14" s="554" t="s">
        <v>402</v>
      </c>
      <c r="H14" s="552" t="s">
        <v>400</v>
      </c>
      <c r="I14" s="552" t="s">
        <v>401</v>
      </c>
      <c r="J14" s="838"/>
      <c r="K14" s="552" t="s">
        <v>401</v>
      </c>
    </row>
    <row r="15" spans="1:11" ht="15">
      <c r="A15" s="552"/>
      <c r="B15" s="552" t="s">
        <v>403</v>
      </c>
      <c r="C15" s="552" t="s">
        <v>404</v>
      </c>
      <c r="D15" s="552" t="s">
        <v>767</v>
      </c>
      <c r="E15" s="552" t="s">
        <v>405</v>
      </c>
      <c r="F15" s="838"/>
      <c r="G15" s="554" t="s">
        <v>404</v>
      </c>
      <c r="H15" s="552" t="s">
        <v>767</v>
      </c>
      <c r="I15" s="552" t="s">
        <v>405</v>
      </c>
      <c r="J15" s="838"/>
      <c r="K15" s="552" t="s">
        <v>405</v>
      </c>
    </row>
    <row r="16" spans="1:11" ht="15">
      <c r="A16" s="550"/>
      <c r="B16" s="550"/>
      <c r="C16" s="550"/>
      <c r="D16" s="550"/>
      <c r="E16" s="550"/>
      <c r="F16" s="550"/>
      <c r="G16" s="215"/>
      <c r="H16" s="550"/>
      <c r="I16" s="550"/>
      <c r="J16" s="550"/>
      <c r="K16" s="550"/>
    </row>
    <row r="17" spans="1:11" ht="15.75" thickBot="1">
      <c r="A17" s="839"/>
      <c r="B17" s="836"/>
      <c r="C17" s="209"/>
      <c r="D17" s="836"/>
      <c r="E17" s="836"/>
      <c r="F17" s="836"/>
      <c r="G17" s="840"/>
      <c r="H17" s="836"/>
      <c r="I17" s="836"/>
      <c r="J17" s="836"/>
      <c r="K17" s="836"/>
    </row>
    <row r="18" spans="1:11" ht="15">
      <c r="A18" s="841" t="s">
        <v>406</v>
      </c>
      <c r="B18" s="842"/>
      <c r="C18" s="210"/>
      <c r="D18" s="211"/>
      <c r="E18" s="212"/>
      <c r="F18" s="842"/>
      <c r="G18" s="212"/>
      <c r="H18" s="213"/>
      <c r="I18" s="212"/>
      <c r="J18" s="842"/>
      <c r="K18" s="212"/>
    </row>
    <row r="19" spans="1:11" ht="15">
      <c r="A19" s="550" t="s">
        <v>768</v>
      </c>
      <c r="B19" s="1164">
        <v>350.1</v>
      </c>
      <c r="C19" s="1166">
        <v>1.77E-2</v>
      </c>
      <c r="D19" s="1167">
        <v>0.71390960000000003</v>
      </c>
      <c r="E19" s="1163">
        <v>1.2636E-2</v>
      </c>
      <c r="F19" s="1165"/>
      <c r="G19" s="1166">
        <v>1.7500000000000002E-2</v>
      </c>
      <c r="H19" s="1167">
        <v>0.28609040000000002</v>
      </c>
      <c r="I19" s="1163">
        <v>5.0070000000000002E-3</v>
      </c>
      <c r="J19" s="1165"/>
      <c r="K19" s="1166">
        <v>1.7600000000000001E-2</v>
      </c>
    </row>
    <row r="20" spans="1:11" ht="15">
      <c r="A20" s="550" t="s">
        <v>407</v>
      </c>
      <c r="B20" s="1164">
        <v>352</v>
      </c>
      <c r="C20" s="1166">
        <v>1.8599999999999998E-2</v>
      </c>
      <c r="D20" s="1167">
        <v>0.71390960000000003</v>
      </c>
      <c r="E20" s="1163">
        <v>1.3278999999999999E-2</v>
      </c>
      <c r="F20" s="1165"/>
      <c r="G20" s="1166">
        <v>1.8499999999999999E-2</v>
      </c>
      <c r="H20" s="1167">
        <v>0.28609040000000002</v>
      </c>
      <c r="I20" s="1163">
        <v>5.293E-3</v>
      </c>
      <c r="J20" s="1165"/>
      <c r="K20" s="1166">
        <v>1.8599999999999998E-2</v>
      </c>
    </row>
    <row r="21" spans="1:11" ht="15">
      <c r="A21" s="550" t="s">
        <v>408</v>
      </c>
      <c r="B21" s="1164">
        <v>353</v>
      </c>
      <c r="C21" s="1166">
        <v>2.7199999999999998E-2</v>
      </c>
      <c r="D21" s="1167">
        <v>0.71390960000000003</v>
      </c>
      <c r="E21" s="1163">
        <v>1.9418000000000001E-2</v>
      </c>
      <c r="F21" s="1165"/>
      <c r="G21" s="1166">
        <v>2.69E-2</v>
      </c>
      <c r="H21" s="1167">
        <v>0.28609040000000002</v>
      </c>
      <c r="I21" s="1163">
        <v>7.6959999999999997E-3</v>
      </c>
      <c r="J21" s="1165"/>
      <c r="K21" s="1166">
        <v>2.7099999999999999E-2</v>
      </c>
    </row>
    <row r="22" spans="1:11" ht="15">
      <c r="A22" s="550" t="s">
        <v>409</v>
      </c>
      <c r="B22" s="1164">
        <v>354</v>
      </c>
      <c r="C22" s="1166">
        <v>2.8199999999999999E-2</v>
      </c>
      <c r="D22" s="1167">
        <v>0.71390960000000003</v>
      </c>
      <c r="E22" s="1163">
        <v>2.0132000000000001E-2</v>
      </c>
      <c r="F22" s="1165"/>
      <c r="G22" s="1166">
        <v>2.7300000000000001E-2</v>
      </c>
      <c r="H22" s="1167">
        <v>0.28609040000000002</v>
      </c>
      <c r="I22" s="1163">
        <v>7.8100000000000001E-3</v>
      </c>
      <c r="J22" s="1165"/>
      <c r="K22" s="1166">
        <v>2.7900000000000001E-2</v>
      </c>
    </row>
    <row r="23" spans="1:11" ht="15">
      <c r="A23" s="550" t="s">
        <v>410</v>
      </c>
      <c r="B23" s="1164">
        <v>355</v>
      </c>
      <c r="C23" s="1166">
        <v>3.3500000000000002E-2</v>
      </c>
      <c r="D23" s="1167">
        <v>0.71390960000000003</v>
      </c>
      <c r="E23" s="1163">
        <v>2.3916E-2</v>
      </c>
      <c r="F23" s="1165"/>
      <c r="G23" s="1166">
        <v>3.3399999999999999E-2</v>
      </c>
      <c r="H23" s="1167">
        <v>0.28609040000000002</v>
      </c>
      <c r="I23" s="1163">
        <v>9.5549999999999993E-3</v>
      </c>
      <c r="J23" s="1165"/>
      <c r="K23" s="1166">
        <v>3.3500000000000002E-2</v>
      </c>
    </row>
    <row r="24" spans="1:11" ht="15">
      <c r="A24" s="550" t="s">
        <v>769</v>
      </c>
      <c r="B24" s="1164">
        <v>356</v>
      </c>
      <c r="C24" s="1166">
        <v>2.3E-2</v>
      </c>
      <c r="D24" s="1167">
        <v>0.71390960000000003</v>
      </c>
      <c r="E24" s="1163">
        <v>1.6420000000000001E-2</v>
      </c>
      <c r="F24" s="1165"/>
      <c r="G24" s="1166">
        <v>2.2599999999999999E-2</v>
      </c>
      <c r="H24" s="1167">
        <v>0.28609040000000002</v>
      </c>
      <c r="I24" s="1163">
        <v>6.4660000000000004E-3</v>
      </c>
      <c r="J24" s="1165"/>
      <c r="K24" s="1166">
        <v>2.29E-2</v>
      </c>
    </row>
    <row r="25" spans="1:11" ht="15">
      <c r="A25" s="550" t="s">
        <v>411</v>
      </c>
      <c r="B25" s="1164">
        <v>357</v>
      </c>
      <c r="C25" s="1166">
        <v>1.8800000000000001E-2</v>
      </c>
      <c r="D25" s="1167">
        <v>0.71390960000000003</v>
      </c>
      <c r="E25" s="1163">
        <v>1.3422E-2</v>
      </c>
      <c r="F25" s="1165"/>
      <c r="G25" s="1166">
        <v>1.8800000000000001E-2</v>
      </c>
      <c r="H25" s="1167">
        <v>0.28609040000000002</v>
      </c>
      <c r="I25" s="1163">
        <v>5.378E-3</v>
      </c>
      <c r="J25" s="1165"/>
      <c r="K25" s="1166">
        <v>1.8800000000000001E-2</v>
      </c>
    </row>
    <row r="26" spans="1:11" ht="15">
      <c r="A26" s="550" t="s">
        <v>412</v>
      </c>
      <c r="B26" s="1164">
        <v>358</v>
      </c>
      <c r="C26" s="1166">
        <v>2.1399999999999999E-2</v>
      </c>
      <c r="D26" s="1167">
        <v>0.71390960000000003</v>
      </c>
      <c r="E26" s="1163">
        <v>1.5278E-2</v>
      </c>
      <c r="F26" s="1165"/>
      <c r="G26" s="1166">
        <v>2.1299999999999999E-2</v>
      </c>
      <c r="H26" s="1167">
        <v>0.28609040000000002</v>
      </c>
      <c r="I26" s="1163">
        <v>6.0939999999999996E-3</v>
      </c>
      <c r="J26" s="1165"/>
      <c r="K26" s="1166">
        <v>2.1399999999999999E-2</v>
      </c>
    </row>
    <row r="27" spans="1:11" ht="15">
      <c r="A27" s="550" t="s">
        <v>770</v>
      </c>
      <c r="B27" s="1164">
        <v>359</v>
      </c>
      <c r="C27" s="1166">
        <v>1.7000000000000001E-2</v>
      </c>
      <c r="D27" s="1167">
        <v>0.71390960000000003</v>
      </c>
      <c r="E27" s="1163">
        <v>1.2135999999999999E-2</v>
      </c>
      <c r="F27" s="1165"/>
      <c r="G27" s="1166">
        <v>1.6799999999999999E-2</v>
      </c>
      <c r="H27" s="1167">
        <v>0.28609040000000002</v>
      </c>
      <c r="I27" s="1163">
        <v>4.8060000000000004E-3</v>
      </c>
      <c r="J27" s="1165"/>
      <c r="K27" s="1166">
        <v>1.6899999999999998E-2</v>
      </c>
    </row>
    <row r="28" spans="1:11" ht="15">
      <c r="A28" s="550"/>
      <c r="B28" s="550"/>
      <c r="C28" s="550"/>
      <c r="D28" s="550"/>
      <c r="E28" s="550"/>
      <c r="F28" s="550"/>
      <c r="G28" s="550"/>
      <c r="H28" s="550"/>
      <c r="I28" s="550"/>
      <c r="J28" s="550"/>
      <c r="K28" s="550"/>
    </row>
    <row r="29" spans="1:11" ht="15.75" thickBot="1">
      <c r="A29" s="550"/>
      <c r="B29" s="550"/>
      <c r="C29" s="550"/>
      <c r="D29" s="550"/>
      <c r="E29" s="550"/>
      <c r="F29" s="550"/>
      <c r="G29" s="550"/>
      <c r="H29" s="550"/>
      <c r="I29" s="550"/>
      <c r="J29" s="550"/>
      <c r="K29" s="550"/>
    </row>
    <row r="30" spans="1:11" ht="15">
      <c r="A30" s="967" t="s">
        <v>903</v>
      </c>
      <c r="B30" s="974"/>
      <c r="C30" s="1031"/>
      <c r="D30" s="975"/>
      <c r="E30" s="976"/>
      <c r="F30" s="974"/>
      <c r="G30" s="977"/>
      <c r="H30" s="975"/>
      <c r="I30" s="976"/>
      <c r="J30" s="974"/>
      <c r="K30" s="550"/>
    </row>
    <row r="31" spans="1:11" ht="15">
      <c r="A31" s="1032"/>
      <c r="B31" s="1168">
        <v>390</v>
      </c>
      <c r="C31" s="1171">
        <v>2.4500000000000001E-2</v>
      </c>
      <c r="D31" s="1172">
        <v>0.72727090000000005</v>
      </c>
      <c r="E31" s="1170">
        <v>1.7818000000000001E-2</v>
      </c>
      <c r="F31" s="1169"/>
      <c r="G31" s="1171">
        <v>2.46E-2</v>
      </c>
      <c r="H31" s="1172">
        <v>0.2727291</v>
      </c>
      <c r="I31" s="1170">
        <v>6.7089999999999997E-3</v>
      </c>
      <c r="J31" s="1169"/>
      <c r="K31" s="1171">
        <v>2.4500000000000001E-2</v>
      </c>
    </row>
    <row r="32" spans="1:11" ht="15">
      <c r="A32" s="1032"/>
      <c r="B32" s="1168">
        <v>391</v>
      </c>
      <c r="C32" s="1171">
        <v>5.5599999999999997E-2</v>
      </c>
      <c r="D32" s="1172">
        <v>0.72727090000000005</v>
      </c>
      <c r="E32" s="1170">
        <v>4.0436E-2</v>
      </c>
      <c r="F32" s="1169"/>
      <c r="G32" s="1171">
        <v>5.6500000000000002E-2</v>
      </c>
      <c r="H32" s="1172">
        <v>0.2727291</v>
      </c>
      <c r="I32" s="1170">
        <v>1.5409000000000001E-2</v>
      </c>
      <c r="J32" s="1169"/>
      <c r="K32" s="1171">
        <v>5.5800000000000002E-2</v>
      </c>
    </row>
    <row r="33" spans="1:11" ht="15">
      <c r="A33" s="1033" t="s">
        <v>998</v>
      </c>
      <c r="B33" s="1168">
        <v>392</v>
      </c>
      <c r="C33" s="1171">
        <v>5.0999999999999997E-2</v>
      </c>
      <c r="D33" s="1172">
        <v>0.72727090000000005</v>
      </c>
      <c r="E33" s="1170">
        <v>3.7090999999999999E-2</v>
      </c>
      <c r="F33" s="1169"/>
      <c r="G33" s="1171">
        <v>5.0999999999999997E-2</v>
      </c>
      <c r="H33" s="1172">
        <v>0.2727291</v>
      </c>
      <c r="I33" s="1170">
        <v>1.3908999999999999E-2</v>
      </c>
      <c r="J33" s="1169"/>
      <c r="K33" s="1171">
        <v>5.0999999999999997E-2</v>
      </c>
    </row>
    <row r="34" spans="1:11" ht="15">
      <c r="A34" s="1032"/>
      <c r="B34" s="1168">
        <v>393</v>
      </c>
      <c r="C34" s="1171">
        <v>7.9299999999999995E-2</v>
      </c>
      <c r="D34" s="1172">
        <v>0.72727090000000005</v>
      </c>
      <c r="E34" s="1170">
        <v>5.7673000000000002E-2</v>
      </c>
      <c r="F34" s="1169"/>
      <c r="G34" s="1171">
        <v>0.08</v>
      </c>
      <c r="H34" s="1172">
        <v>0.2727291</v>
      </c>
      <c r="I34" s="1170">
        <v>2.1818000000000001E-2</v>
      </c>
      <c r="J34" s="1169"/>
      <c r="K34" s="1171">
        <v>7.9500000000000001E-2</v>
      </c>
    </row>
    <row r="35" spans="1:11" ht="15">
      <c r="A35" s="1032"/>
      <c r="B35" s="1168">
        <v>394</v>
      </c>
      <c r="C35" s="1171">
        <v>7.4499999999999997E-2</v>
      </c>
      <c r="D35" s="1172">
        <v>0.72727090000000005</v>
      </c>
      <c r="E35" s="1170">
        <v>5.4182000000000001E-2</v>
      </c>
      <c r="F35" s="1169"/>
      <c r="G35" s="1171">
        <v>7.5499999999999998E-2</v>
      </c>
      <c r="H35" s="1172">
        <v>0.2727291</v>
      </c>
      <c r="I35" s="1170">
        <v>2.0591000000000002E-2</v>
      </c>
      <c r="J35" s="1169"/>
      <c r="K35" s="1171">
        <v>7.4800000000000005E-2</v>
      </c>
    </row>
    <row r="36" spans="1:11" ht="15">
      <c r="A36" s="1032"/>
      <c r="B36" s="1168">
        <v>395</v>
      </c>
      <c r="C36" s="1171">
        <v>5.91E-2</v>
      </c>
      <c r="D36" s="1172">
        <v>0.72727090000000005</v>
      </c>
      <c r="E36" s="1170">
        <v>4.2981999999999999E-2</v>
      </c>
      <c r="F36" s="1169"/>
      <c r="G36" s="1171">
        <v>5.9900000000000002E-2</v>
      </c>
      <c r="H36" s="1172">
        <v>0.2727291</v>
      </c>
      <c r="I36" s="1170">
        <v>1.6336E-2</v>
      </c>
      <c r="J36" s="1169"/>
      <c r="K36" s="1171">
        <v>5.9299999999999999E-2</v>
      </c>
    </row>
    <row r="37" spans="1:11" ht="15">
      <c r="A37" s="1032"/>
      <c r="B37" s="1168">
        <v>396</v>
      </c>
      <c r="C37" s="1171">
        <v>6.8500000000000005E-2</v>
      </c>
      <c r="D37" s="1172">
        <v>0.72727090000000005</v>
      </c>
      <c r="E37" s="1170">
        <v>4.9818000000000001E-2</v>
      </c>
      <c r="F37" s="1169"/>
      <c r="G37" s="1171">
        <v>7.0800000000000002E-2</v>
      </c>
      <c r="H37" s="1172">
        <v>0.2727291</v>
      </c>
      <c r="I37" s="1170">
        <v>1.9309E-2</v>
      </c>
      <c r="J37" s="1169"/>
      <c r="K37" s="1171">
        <v>6.9099999999999995E-2</v>
      </c>
    </row>
    <row r="38" spans="1:11" ht="15">
      <c r="A38" s="1032"/>
      <c r="B38" s="1168">
        <v>397</v>
      </c>
      <c r="C38" s="1171">
        <v>4.2799999999999998E-2</v>
      </c>
      <c r="D38" s="1172">
        <v>0.72727090000000005</v>
      </c>
      <c r="E38" s="1170">
        <v>3.1126999999999998E-2</v>
      </c>
      <c r="F38" s="1169"/>
      <c r="G38" s="1171">
        <v>4.3099999999999999E-2</v>
      </c>
      <c r="H38" s="1172">
        <v>0.2727291</v>
      </c>
      <c r="I38" s="1170">
        <v>1.1755E-2</v>
      </c>
      <c r="J38" s="1169"/>
      <c r="K38" s="1171">
        <v>4.2900000000000001E-2</v>
      </c>
    </row>
    <row r="39" spans="1:11" ht="15">
      <c r="A39" s="1032"/>
      <c r="B39" s="1168">
        <v>398</v>
      </c>
      <c r="C39" s="1171">
        <v>3.6999999999999998E-2</v>
      </c>
      <c r="D39" s="1172">
        <v>0.72727090000000005</v>
      </c>
      <c r="E39" s="1170">
        <v>2.6908999999999999E-2</v>
      </c>
      <c r="F39" s="1169"/>
      <c r="G39" s="1171">
        <v>3.7400000000000003E-2</v>
      </c>
      <c r="H39" s="1172">
        <v>0.2727291</v>
      </c>
      <c r="I39" s="1170">
        <v>1.0200000000000001E-2</v>
      </c>
      <c r="J39" s="1169"/>
      <c r="K39" s="1171">
        <v>3.7100000000000001E-2</v>
      </c>
    </row>
    <row r="40" spans="1:11" ht="15.75" thickBot="1">
      <c r="A40" s="968"/>
      <c r="B40" s="969"/>
      <c r="C40" s="970"/>
      <c r="D40" s="971"/>
      <c r="E40" s="972"/>
      <c r="F40" s="969"/>
      <c r="G40" s="972"/>
      <c r="H40" s="971"/>
      <c r="I40" s="972"/>
      <c r="J40" s="969"/>
      <c r="K40" s="550"/>
    </row>
    <row r="41" spans="1:11" ht="15">
      <c r="A41" s="550"/>
      <c r="B41" s="550"/>
      <c r="C41" s="550"/>
      <c r="D41" s="550"/>
      <c r="E41" s="550"/>
      <c r="F41" s="550"/>
      <c r="G41" s="550"/>
      <c r="H41" s="550"/>
      <c r="I41" s="550"/>
      <c r="J41" s="550"/>
      <c r="K41" s="550"/>
    </row>
    <row r="42" spans="1:11" ht="15">
      <c r="A42" s="550"/>
      <c r="B42" s="550"/>
      <c r="C42" s="550"/>
      <c r="D42" s="550"/>
      <c r="E42" s="550"/>
      <c r="F42" s="550"/>
      <c r="G42" s="550"/>
      <c r="H42" s="550"/>
      <c r="I42" s="550"/>
      <c r="J42" s="550"/>
      <c r="K42" s="550"/>
    </row>
    <row r="43" spans="1:11" ht="15">
      <c r="A43" s="550"/>
      <c r="B43" s="836"/>
      <c r="C43" s="209"/>
      <c r="D43" s="550"/>
      <c r="E43" s="550"/>
      <c r="F43" s="550"/>
      <c r="G43" s="215"/>
      <c r="H43" s="550"/>
      <c r="I43" s="550"/>
      <c r="J43" s="550"/>
      <c r="K43" s="550"/>
    </row>
    <row r="44" spans="1:11" ht="15.75">
      <c r="A44" s="1337" t="s">
        <v>1113</v>
      </c>
      <c r="B44" s="1337"/>
      <c r="C44" s="1337"/>
      <c r="D44" s="1337"/>
      <c r="E44" s="1337"/>
      <c r="F44" s="1337"/>
      <c r="G44" s="1337"/>
      <c r="H44" s="1337"/>
      <c r="I44" s="1337"/>
      <c r="J44" s="1337"/>
      <c r="K44" s="1337"/>
    </row>
    <row r="45" spans="1:11" ht="78" customHeight="1">
      <c r="A45" s="1338" t="s">
        <v>1114</v>
      </c>
      <c r="B45" s="1338"/>
      <c r="C45" s="1338"/>
      <c r="D45" s="1338"/>
      <c r="E45" s="1338"/>
      <c r="F45" s="1338"/>
      <c r="G45" s="1338"/>
      <c r="H45" s="1338"/>
      <c r="I45" s="1338"/>
      <c r="J45" s="1338"/>
      <c r="K45" s="1338"/>
    </row>
    <row r="46" spans="1:11" ht="72" customHeight="1">
      <c r="A46" s="1339" t="s">
        <v>1115</v>
      </c>
      <c r="B46" s="1339"/>
      <c r="C46" s="1339"/>
      <c r="D46" s="1339"/>
      <c r="E46" s="1339"/>
      <c r="F46" s="1339"/>
      <c r="G46" s="1339"/>
      <c r="H46" s="1339"/>
      <c r="I46" s="1339"/>
      <c r="J46" s="1339"/>
      <c r="K46" s="1339"/>
    </row>
    <row r="47" spans="1:11" ht="68.25" customHeight="1">
      <c r="A47" s="1340" t="s">
        <v>1116</v>
      </c>
      <c r="B47" s="1340"/>
      <c r="C47" s="1340"/>
      <c r="D47" s="1340"/>
      <c r="E47" s="1340"/>
      <c r="F47" s="1340"/>
      <c r="G47" s="1340"/>
      <c r="H47" s="1340"/>
      <c r="I47" s="1340"/>
      <c r="J47" s="1340"/>
      <c r="K47" s="1340"/>
    </row>
    <row r="48" spans="1:11" ht="15" customHeight="1">
      <c r="A48" s="1341" t="s">
        <v>1117</v>
      </c>
      <c r="B48" s="1341"/>
      <c r="C48" s="1341"/>
      <c r="D48" s="1341"/>
      <c r="E48" s="1341"/>
      <c r="F48" s="1341"/>
      <c r="G48" s="1341"/>
      <c r="H48" s="1341"/>
      <c r="I48" s="1341"/>
      <c r="J48" s="1341"/>
      <c r="K48" s="1341"/>
    </row>
    <row r="49" spans="1:11" ht="18.75" customHeight="1">
      <c r="A49" s="1173"/>
      <c r="B49" s="1173"/>
      <c r="C49" s="1173"/>
      <c r="D49" s="1173"/>
      <c r="E49" s="1173"/>
      <c r="F49" s="1173"/>
      <c r="G49" s="1173"/>
      <c r="H49" s="1173"/>
      <c r="I49" s="1173"/>
      <c r="J49" s="1173"/>
      <c r="K49" s="550"/>
    </row>
    <row r="50" spans="1:11" ht="15.75">
      <c r="A50" s="844" t="s">
        <v>413</v>
      </c>
      <c r="B50" s="836"/>
      <c r="C50" s="209"/>
      <c r="D50" s="550"/>
      <c r="E50" s="550"/>
      <c r="F50" s="550"/>
      <c r="G50" s="215"/>
      <c r="H50" s="550"/>
      <c r="I50" s="550"/>
      <c r="J50" s="550"/>
      <c r="K50" s="550"/>
    </row>
    <row r="51" spans="1:11" ht="15">
      <c r="A51" s="845" t="s">
        <v>29</v>
      </c>
      <c r="B51" s="846"/>
      <c r="C51" s="846"/>
      <c r="D51" s="847"/>
      <c r="E51" s="550"/>
      <c r="F51" s="550"/>
      <c r="G51" s="215"/>
      <c r="H51" s="550"/>
      <c r="I51" s="550"/>
      <c r="J51" s="550"/>
      <c r="K51" s="550"/>
    </row>
    <row r="52" spans="1:11" ht="15">
      <c r="A52" s="1328" t="s">
        <v>771</v>
      </c>
      <c r="B52" s="1328"/>
      <c r="C52" s="1328"/>
      <c r="D52" s="1328"/>
      <c r="E52" s="1328"/>
      <c r="F52" s="1328"/>
      <c r="G52" s="1328"/>
      <c r="H52" s="1328"/>
      <c r="I52" s="1328"/>
      <c r="J52" s="1328"/>
      <c r="K52" s="550"/>
    </row>
    <row r="53" spans="1:11" ht="15">
      <c r="A53" s="1328"/>
      <c r="B53" s="1328"/>
      <c r="C53" s="1328"/>
      <c r="D53" s="1328"/>
      <c r="E53" s="1328"/>
      <c r="F53" s="1328"/>
      <c r="G53" s="1328"/>
      <c r="H53" s="1328"/>
      <c r="I53" s="1328"/>
      <c r="J53" s="1328"/>
      <c r="K53" s="550"/>
    </row>
    <row r="54" spans="1:11" ht="15">
      <c r="A54" s="1335" t="s">
        <v>817</v>
      </c>
      <c r="B54" s="1335"/>
      <c r="C54" s="1335"/>
      <c r="D54" s="1335"/>
      <c r="E54" s="1335"/>
      <c r="F54" s="1335"/>
      <c r="G54" s="1335"/>
      <c r="H54" s="1335"/>
      <c r="I54" s="1335"/>
      <c r="J54" s="1335"/>
      <c r="K54" s="550"/>
    </row>
    <row r="55" spans="1:11" ht="15">
      <c r="A55" s="1335"/>
      <c r="B55" s="1335"/>
      <c r="C55" s="1335"/>
      <c r="D55" s="1335"/>
      <c r="E55" s="1335"/>
      <c r="F55" s="1335"/>
      <c r="G55" s="1335"/>
      <c r="H55" s="1335"/>
      <c r="I55" s="1335"/>
      <c r="J55" s="1335"/>
      <c r="K55" s="550"/>
    </row>
    <row r="56" spans="1:11" ht="15">
      <c r="A56" s="550"/>
      <c r="B56" s="550"/>
      <c r="C56" s="550"/>
      <c r="D56" s="550"/>
      <c r="E56" s="550"/>
      <c r="F56" s="550"/>
      <c r="G56" s="215"/>
      <c r="H56" s="550"/>
      <c r="I56" s="550"/>
      <c r="J56" s="550"/>
      <c r="K56" s="550"/>
    </row>
    <row r="57" spans="1:11" ht="15">
      <c r="A57" s="550"/>
      <c r="B57" s="550"/>
      <c r="C57" s="550"/>
      <c r="D57" s="550"/>
      <c r="E57" s="550"/>
      <c r="F57" s="550"/>
      <c r="G57" s="215"/>
      <c r="H57" s="550"/>
      <c r="I57" s="550"/>
      <c r="J57" s="550"/>
      <c r="K57" s="550"/>
    </row>
    <row r="58" spans="1:11" ht="15">
      <c r="A58" s="550"/>
      <c r="B58" s="550"/>
      <c r="C58" s="550"/>
      <c r="D58" s="550"/>
      <c r="E58" s="550"/>
      <c r="F58" s="550"/>
      <c r="G58" s="215"/>
      <c r="H58" s="550"/>
      <c r="I58" s="550"/>
      <c r="J58" s="550"/>
      <c r="K58" s="550"/>
    </row>
  </sheetData>
  <mergeCells count="17">
    <mergeCell ref="A8:K8"/>
    <mergeCell ref="A3:K3"/>
    <mergeCell ref="A4:K4"/>
    <mergeCell ref="A5:K5"/>
    <mergeCell ref="A6:K6"/>
    <mergeCell ref="A7:K7"/>
    <mergeCell ref="A54:J55"/>
    <mergeCell ref="A9:K9"/>
    <mergeCell ref="A10:K10"/>
    <mergeCell ref="C11:E11"/>
    <mergeCell ref="G11:I11"/>
    <mergeCell ref="A52:J53"/>
    <mergeCell ref="A44:K44"/>
    <mergeCell ref="A45:K45"/>
    <mergeCell ref="A46:K46"/>
    <mergeCell ref="A47:K47"/>
    <mergeCell ref="A48:K48"/>
  </mergeCells>
  <conditionalFormatting sqref="A3 A4:K9 A10 A50:J51 A52">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57"/>
  <sheetViews>
    <sheetView view="pageBreakPreview" zoomScale="60" zoomScaleNormal="100" workbookViewId="0">
      <selection activeCell="F16" sqref="F16"/>
    </sheetView>
  </sheetViews>
  <sheetFormatPr defaultRowHeight="12.75"/>
  <cols>
    <col min="1" max="1" width="33.42578125" customWidth="1"/>
    <col min="4" max="4" width="27.5703125" customWidth="1"/>
    <col min="6" max="6" width="11.5703125" bestFit="1" customWidth="1"/>
    <col min="8" max="8" width="20.85546875" customWidth="1"/>
    <col min="9" max="9" width="16" customWidth="1"/>
    <col min="11" max="11" width="19.5703125" customWidth="1"/>
  </cols>
  <sheetData>
    <row r="1" spans="1:11" ht="15.75">
      <c r="A1" s="1342" t="s">
        <v>387</v>
      </c>
      <c r="B1" s="1342"/>
      <c r="C1" s="1342"/>
      <c r="D1" s="1342"/>
      <c r="E1" s="1342"/>
      <c r="F1" s="1342"/>
      <c r="G1" s="1342"/>
      <c r="H1" s="1342"/>
      <c r="I1" s="1342"/>
      <c r="J1" s="1342"/>
      <c r="K1" s="1342"/>
    </row>
    <row r="2" spans="1:11" ht="15.75">
      <c r="A2" s="1343" t="s">
        <v>567</v>
      </c>
      <c r="B2" s="1343"/>
      <c r="C2" s="1343"/>
      <c r="D2" s="1343"/>
      <c r="E2" s="1343"/>
      <c r="F2" s="1343"/>
      <c r="G2" s="1343"/>
      <c r="H2" s="1343"/>
      <c r="I2" s="1343"/>
      <c r="J2" s="1343"/>
      <c r="K2" s="1343"/>
    </row>
    <row r="3" spans="1:11" ht="15.75">
      <c r="A3" s="1343" t="s">
        <v>568</v>
      </c>
      <c r="B3" s="1343"/>
      <c r="C3" s="1343"/>
      <c r="D3" s="1343"/>
      <c r="E3" s="1343"/>
      <c r="F3" s="1343"/>
      <c r="G3" s="1343"/>
      <c r="H3" s="1343"/>
      <c r="I3" s="1343"/>
      <c r="J3" s="1343"/>
      <c r="K3" s="1343"/>
    </row>
    <row r="4" spans="1:11" ht="15.75">
      <c r="A4" s="11"/>
      <c r="B4" s="11"/>
      <c r="C4" s="11"/>
      <c r="D4" s="1343"/>
      <c r="E4" s="1343"/>
      <c r="F4" s="1343"/>
      <c r="G4" s="1343"/>
      <c r="H4" s="11"/>
      <c r="I4" s="11"/>
      <c r="J4" s="11"/>
      <c r="K4" s="11"/>
    </row>
    <row r="7" spans="1:11" ht="16.5" thickBot="1">
      <c r="A7" s="560"/>
      <c r="B7" s="561"/>
      <c r="C7" s="561"/>
      <c r="D7" s="561"/>
      <c r="E7" s="561"/>
      <c r="F7" s="561"/>
      <c r="G7" s="561"/>
      <c r="H7" s="561"/>
      <c r="I7" s="561"/>
      <c r="J7" s="561"/>
      <c r="K7" s="561"/>
    </row>
    <row r="8" spans="1:11" ht="47.25">
      <c r="A8" s="562" t="str">
        <f>'WSQ NSPR'!A8</f>
        <v>Reconciliation Revenue Requirement For Year 2024 Available May 25, 2025</v>
      </c>
      <c r="B8" s="561"/>
      <c r="C8" s="561"/>
      <c r="D8" s="562" t="s">
        <v>1102</v>
      </c>
      <c r="E8" s="561"/>
      <c r="F8" s="561"/>
      <c r="G8" s="11"/>
      <c r="H8" s="562" t="s">
        <v>548</v>
      </c>
      <c r="I8" s="11"/>
      <c r="J8" s="11"/>
      <c r="K8" s="11"/>
    </row>
    <row r="9" spans="1:11" ht="15.75">
      <c r="A9" s="563" t="s">
        <v>114</v>
      </c>
      <c r="B9" s="561"/>
      <c r="C9" s="561"/>
      <c r="D9" s="563"/>
      <c r="E9" s="561"/>
      <c r="F9" s="561"/>
      <c r="G9" s="11"/>
      <c r="H9" s="564"/>
      <c r="I9" s="11"/>
      <c r="J9" s="11"/>
      <c r="K9" s="11"/>
    </row>
    <row r="10" spans="1:11" ht="16.5" thickBot="1">
      <c r="A10" s="639">
        <v>44944.936850177219</v>
      </c>
      <c r="B10" s="565" t="str">
        <f>"-"</f>
        <v>-</v>
      </c>
      <c r="C10" s="566"/>
      <c r="D10" s="639">
        <v>37169.502142140169</v>
      </c>
      <c r="E10" s="567"/>
      <c r="F10" s="568" t="str">
        <f>"="</f>
        <v>=</v>
      </c>
      <c r="G10" s="569"/>
      <c r="H10" s="570">
        <f>IF(A10=0,0,D10-A10)</f>
        <v>-7775.4347080370499</v>
      </c>
      <c r="I10" s="11"/>
      <c r="J10" s="11"/>
      <c r="K10" s="11"/>
    </row>
    <row r="11" spans="1:11" ht="15.75">
      <c r="A11" s="571"/>
      <c r="B11" s="572"/>
      <c r="C11" s="572"/>
      <c r="D11" s="571"/>
      <c r="E11" s="571"/>
      <c r="F11" s="572"/>
      <c r="G11" s="571"/>
      <c r="H11" s="11"/>
      <c r="I11" s="11"/>
      <c r="J11" s="11"/>
      <c r="K11" s="11"/>
    </row>
    <row r="12" spans="1:11" ht="16.5" thickBot="1">
      <c r="A12" s="573"/>
      <c r="B12" s="574"/>
      <c r="C12" s="574"/>
      <c r="D12" s="573"/>
      <c r="E12" s="573"/>
      <c r="F12" s="574"/>
      <c r="G12" s="573"/>
      <c r="H12" s="575"/>
      <c r="I12" s="575"/>
      <c r="J12" s="575"/>
      <c r="K12" s="575"/>
    </row>
    <row r="13" spans="1:11" ht="15.75">
      <c r="A13" s="576"/>
      <c r="B13" s="572"/>
      <c r="C13" s="572"/>
      <c r="D13" s="571"/>
      <c r="E13" s="571"/>
      <c r="F13" s="572"/>
      <c r="G13" s="571"/>
      <c r="H13" s="11"/>
      <c r="I13" s="11"/>
      <c r="J13" s="11"/>
      <c r="K13" s="11"/>
    </row>
    <row r="14" spans="1:11" ht="63">
      <c r="A14" s="577" t="s">
        <v>549</v>
      </c>
      <c r="B14" s="572"/>
      <c r="C14" s="572"/>
      <c r="D14" s="578" t="s">
        <v>550</v>
      </c>
      <c r="E14" s="571"/>
      <c r="F14" s="578" t="s">
        <v>551</v>
      </c>
      <c r="G14" s="579" t="s">
        <v>552</v>
      </c>
      <c r="H14" s="580" t="s">
        <v>553</v>
      </c>
      <c r="I14" s="578" t="s">
        <v>554</v>
      </c>
      <c r="J14" s="581"/>
      <c r="K14" s="578" t="s">
        <v>555</v>
      </c>
    </row>
    <row r="15" spans="1:11" ht="15.75">
      <c r="A15" s="577" t="s">
        <v>556</v>
      </c>
      <c r="B15" s="572"/>
      <c r="C15" s="572"/>
      <c r="D15" s="11"/>
      <c r="E15" s="582"/>
      <c r="F15" s="640">
        <v>6.8300000000000001E-3</v>
      </c>
      <c r="H15" s="11"/>
      <c r="I15" s="11"/>
      <c r="J15" s="11"/>
      <c r="K15" s="11"/>
    </row>
    <row r="16" spans="1:11" ht="15.75">
      <c r="A16" s="577"/>
      <c r="B16" s="572"/>
      <c r="C16" s="572"/>
      <c r="D16" s="11"/>
      <c r="E16" s="582"/>
      <c r="F16" s="582"/>
      <c r="G16" s="571"/>
      <c r="H16" s="11"/>
      <c r="I16" s="11"/>
      <c r="J16" s="11"/>
      <c r="K16" s="11"/>
    </row>
    <row r="17" spans="1:11" ht="15.75">
      <c r="A17" s="577" t="str">
        <f>'WSQ NSPR'!A17</f>
        <v>An over or under collection will be recovered prorata over 2024, held for 2025 and returned prorate over 2026</v>
      </c>
      <c r="B17" s="572"/>
      <c r="C17" s="572"/>
      <c r="D17" s="11"/>
      <c r="E17" s="582"/>
      <c r="F17" s="582"/>
      <c r="G17" s="571"/>
      <c r="H17" s="11"/>
      <c r="I17" s="11"/>
      <c r="J17" s="11"/>
      <c r="K17" s="11"/>
    </row>
    <row r="18" spans="1:11" ht="15.75">
      <c r="A18" s="583" t="s">
        <v>114</v>
      </c>
      <c r="B18" s="572"/>
      <c r="C18" s="572"/>
      <c r="D18" s="572"/>
      <c r="E18" s="572"/>
      <c r="F18" s="572" t="s">
        <v>114</v>
      </c>
      <c r="G18" s="11"/>
      <c r="H18" s="11"/>
      <c r="I18" s="11"/>
      <c r="J18" s="11"/>
      <c r="K18" s="11"/>
    </row>
    <row r="19" spans="1:11" ht="15.75">
      <c r="A19" s="584"/>
      <c r="B19" s="572"/>
      <c r="C19" s="572"/>
      <c r="D19" s="572"/>
      <c r="E19" s="572"/>
      <c r="F19" s="11"/>
      <c r="G19" s="11"/>
      <c r="H19" s="579"/>
      <c r="I19" s="572"/>
      <c r="J19" s="572"/>
      <c r="K19" s="572"/>
    </row>
    <row r="20" spans="1:11" ht="15.75">
      <c r="A20" s="584" t="s">
        <v>557</v>
      </c>
      <c r="B20" s="572"/>
      <c r="C20" s="572"/>
      <c r="D20" s="572"/>
      <c r="E20" s="572"/>
      <c r="F20" s="11"/>
      <c r="G20" s="11"/>
      <c r="H20" s="579" t="s">
        <v>558</v>
      </c>
      <c r="I20" s="572"/>
      <c r="J20" s="572"/>
      <c r="K20" s="572"/>
    </row>
    <row r="21" spans="1:11" ht="15.75">
      <c r="A21" s="561" t="s">
        <v>185</v>
      </c>
      <c r="B21" s="561" t="str">
        <f>"Year "&amp;TCOS!L4-2</f>
        <v>Year 2024</v>
      </c>
      <c r="C21" s="561"/>
      <c r="D21" s="585">
        <f>H10/12</f>
        <v>-647.95289233642086</v>
      </c>
      <c r="E21" s="585"/>
      <c r="F21" s="586">
        <f>F15</f>
        <v>6.8300000000000001E-3</v>
      </c>
      <c r="G21" s="572">
        <v>12</v>
      </c>
      <c r="H21" s="585">
        <f>F21*D21*G21*-1</f>
        <v>53.106219055893057</v>
      </c>
      <c r="I21" s="585"/>
      <c r="J21" s="585"/>
      <c r="K21" s="585">
        <f>(-H21+D21)*-1</f>
        <v>701.05911139231387</v>
      </c>
    </row>
    <row r="22" spans="1:11" ht="15.75">
      <c r="A22" s="561" t="s">
        <v>559</v>
      </c>
      <c r="B22" s="561" t="str">
        <f>B21</f>
        <v>Year 2024</v>
      </c>
      <c r="C22" s="561"/>
      <c r="D22" s="585">
        <f>+D21</f>
        <v>-647.95289233642086</v>
      </c>
      <c r="E22" s="585"/>
      <c r="F22" s="586">
        <f>+F21</f>
        <v>6.8300000000000001E-3</v>
      </c>
      <c r="G22" s="572">
        <f t="shared" ref="G22:G32" si="0">+G21-1</f>
        <v>11</v>
      </c>
      <c r="H22" s="585">
        <f t="shared" ref="H22:H32" si="1">F22*D22*G22*-1</f>
        <v>48.680700801235304</v>
      </c>
      <c r="I22" s="585"/>
      <c r="J22" s="585"/>
      <c r="K22" s="585">
        <f t="shared" ref="K22:K32" si="2">(-H22+D22)*-1</f>
        <v>696.63359313765613</v>
      </c>
    </row>
    <row r="23" spans="1:11" ht="15.75">
      <c r="A23" s="561" t="s">
        <v>186</v>
      </c>
      <c r="B23" s="561" t="str">
        <f t="shared" ref="B23:B32" si="3">B22</f>
        <v>Year 2024</v>
      </c>
      <c r="C23" s="561"/>
      <c r="D23" s="585">
        <f t="shared" ref="D23:D32" si="4">+D22</f>
        <v>-647.95289233642086</v>
      </c>
      <c r="E23" s="585"/>
      <c r="F23" s="586">
        <f t="shared" ref="F23:F32" si="5">+F22</f>
        <v>6.8300000000000001E-3</v>
      </c>
      <c r="G23" s="572">
        <f t="shared" si="0"/>
        <v>10</v>
      </c>
      <c r="H23" s="585">
        <f t="shared" si="1"/>
        <v>44.255182546577544</v>
      </c>
      <c r="I23" s="585"/>
      <c r="J23" s="585"/>
      <c r="K23" s="585">
        <f t="shared" si="2"/>
        <v>692.2080748829984</v>
      </c>
    </row>
    <row r="24" spans="1:11" ht="15.75">
      <c r="A24" s="561" t="s">
        <v>187</v>
      </c>
      <c r="B24" s="561" t="str">
        <f t="shared" si="3"/>
        <v>Year 2024</v>
      </c>
      <c r="C24" s="561"/>
      <c r="D24" s="585">
        <f t="shared" si="4"/>
        <v>-647.95289233642086</v>
      </c>
      <c r="E24" s="585"/>
      <c r="F24" s="586">
        <f t="shared" si="5"/>
        <v>6.8300000000000001E-3</v>
      </c>
      <c r="G24" s="572">
        <f t="shared" si="0"/>
        <v>9</v>
      </c>
      <c r="H24" s="585">
        <f t="shared" si="1"/>
        <v>39.829664291919791</v>
      </c>
      <c r="I24" s="585"/>
      <c r="J24" s="585"/>
      <c r="K24" s="585">
        <f t="shared" si="2"/>
        <v>687.78255662834067</v>
      </c>
    </row>
    <row r="25" spans="1:11" ht="15.75">
      <c r="A25" s="561" t="s">
        <v>188</v>
      </c>
      <c r="B25" s="561" t="str">
        <f t="shared" si="3"/>
        <v>Year 2024</v>
      </c>
      <c r="C25" s="561"/>
      <c r="D25" s="585">
        <f t="shared" si="4"/>
        <v>-647.95289233642086</v>
      </c>
      <c r="E25" s="585"/>
      <c r="F25" s="586">
        <f t="shared" si="5"/>
        <v>6.8300000000000001E-3</v>
      </c>
      <c r="G25" s="572">
        <f t="shared" si="0"/>
        <v>8</v>
      </c>
      <c r="H25" s="585">
        <f t="shared" si="1"/>
        <v>35.404146037262038</v>
      </c>
      <c r="I25" s="585"/>
      <c r="J25" s="585"/>
      <c r="K25" s="585">
        <f t="shared" si="2"/>
        <v>683.35703837368294</v>
      </c>
    </row>
    <row r="26" spans="1:11" ht="15.75">
      <c r="A26" s="561" t="s">
        <v>382</v>
      </c>
      <c r="B26" s="561" t="str">
        <f t="shared" si="3"/>
        <v>Year 2024</v>
      </c>
      <c r="C26" s="561"/>
      <c r="D26" s="585">
        <f t="shared" si="4"/>
        <v>-647.95289233642086</v>
      </c>
      <c r="E26" s="585"/>
      <c r="F26" s="586">
        <f t="shared" si="5"/>
        <v>6.8300000000000001E-3</v>
      </c>
      <c r="G26" s="572">
        <f t="shared" si="0"/>
        <v>7</v>
      </c>
      <c r="H26" s="585">
        <f t="shared" si="1"/>
        <v>30.978627782604285</v>
      </c>
      <c r="I26" s="585"/>
      <c r="J26" s="585"/>
      <c r="K26" s="585">
        <f t="shared" si="2"/>
        <v>678.93152011902509</v>
      </c>
    </row>
    <row r="27" spans="1:11" ht="15.75">
      <c r="A27" s="561" t="s">
        <v>189</v>
      </c>
      <c r="B27" s="561" t="str">
        <f t="shared" si="3"/>
        <v>Year 2024</v>
      </c>
      <c r="C27" s="561"/>
      <c r="D27" s="585">
        <f t="shared" si="4"/>
        <v>-647.95289233642086</v>
      </c>
      <c r="E27" s="585"/>
      <c r="F27" s="586">
        <f t="shared" si="5"/>
        <v>6.8300000000000001E-3</v>
      </c>
      <c r="G27" s="572">
        <f t="shared" si="0"/>
        <v>6</v>
      </c>
      <c r="H27" s="585">
        <f t="shared" si="1"/>
        <v>26.553109527946528</v>
      </c>
      <c r="I27" s="585"/>
      <c r="J27" s="585"/>
      <c r="K27" s="585">
        <f t="shared" si="2"/>
        <v>674.50600186436736</v>
      </c>
    </row>
    <row r="28" spans="1:11" ht="15.75">
      <c r="A28" s="561" t="s">
        <v>190</v>
      </c>
      <c r="B28" s="561" t="str">
        <f t="shared" si="3"/>
        <v>Year 2024</v>
      </c>
      <c r="C28" s="561"/>
      <c r="D28" s="585">
        <f t="shared" si="4"/>
        <v>-647.95289233642086</v>
      </c>
      <c r="E28" s="585"/>
      <c r="F28" s="586">
        <f t="shared" si="5"/>
        <v>6.8300000000000001E-3</v>
      </c>
      <c r="G28" s="572">
        <f t="shared" si="0"/>
        <v>5</v>
      </c>
      <c r="H28" s="585">
        <f t="shared" si="1"/>
        <v>22.127591273288772</v>
      </c>
      <c r="I28" s="585"/>
      <c r="J28" s="585"/>
      <c r="K28" s="585">
        <f t="shared" si="2"/>
        <v>670.08048360970963</v>
      </c>
    </row>
    <row r="29" spans="1:11" ht="15.75">
      <c r="A29" s="561" t="s">
        <v>192</v>
      </c>
      <c r="B29" s="561" t="str">
        <f t="shared" si="3"/>
        <v>Year 2024</v>
      </c>
      <c r="C29" s="561"/>
      <c r="D29" s="585">
        <f t="shared" si="4"/>
        <v>-647.95289233642086</v>
      </c>
      <c r="E29" s="585"/>
      <c r="F29" s="586">
        <f t="shared" si="5"/>
        <v>6.8300000000000001E-3</v>
      </c>
      <c r="G29" s="572">
        <f t="shared" si="0"/>
        <v>4</v>
      </c>
      <c r="H29" s="585">
        <f t="shared" si="1"/>
        <v>17.702073018631019</v>
      </c>
      <c r="I29" s="585"/>
      <c r="J29" s="585"/>
      <c r="K29" s="585">
        <f t="shared" si="2"/>
        <v>665.6549653550519</v>
      </c>
    </row>
    <row r="30" spans="1:11" ht="15.75">
      <c r="A30" s="561" t="s">
        <v>560</v>
      </c>
      <c r="B30" s="561" t="str">
        <f t="shared" si="3"/>
        <v>Year 2024</v>
      </c>
      <c r="C30" s="561"/>
      <c r="D30" s="585">
        <f t="shared" si="4"/>
        <v>-647.95289233642086</v>
      </c>
      <c r="E30" s="585"/>
      <c r="F30" s="586">
        <f t="shared" si="5"/>
        <v>6.8300000000000001E-3</v>
      </c>
      <c r="G30" s="572">
        <f t="shared" si="0"/>
        <v>3</v>
      </c>
      <c r="H30" s="585">
        <f t="shared" si="1"/>
        <v>13.276554763973264</v>
      </c>
      <c r="I30" s="585"/>
      <c r="J30" s="585"/>
      <c r="K30" s="585">
        <f t="shared" si="2"/>
        <v>661.22944710039417</v>
      </c>
    </row>
    <row r="31" spans="1:11" ht="15.75">
      <c r="A31" s="561" t="s">
        <v>561</v>
      </c>
      <c r="B31" s="561" t="str">
        <f t="shared" si="3"/>
        <v>Year 2024</v>
      </c>
      <c r="C31" s="561"/>
      <c r="D31" s="585">
        <f t="shared" si="4"/>
        <v>-647.95289233642086</v>
      </c>
      <c r="E31" s="585"/>
      <c r="F31" s="586">
        <f t="shared" si="5"/>
        <v>6.8300000000000001E-3</v>
      </c>
      <c r="G31" s="572">
        <f t="shared" si="0"/>
        <v>2</v>
      </c>
      <c r="H31" s="585">
        <f t="shared" si="1"/>
        <v>8.8510365093155094</v>
      </c>
      <c r="I31" s="585"/>
      <c r="J31" s="585"/>
      <c r="K31" s="585">
        <f t="shared" si="2"/>
        <v>656.80392884573632</v>
      </c>
    </row>
    <row r="32" spans="1:11" ht="15.75">
      <c r="A32" s="561" t="s">
        <v>191</v>
      </c>
      <c r="B32" s="561" t="str">
        <f t="shared" si="3"/>
        <v>Year 2024</v>
      </c>
      <c r="C32" s="561"/>
      <c r="D32" s="585">
        <f t="shared" si="4"/>
        <v>-647.95289233642086</v>
      </c>
      <c r="E32" s="585"/>
      <c r="F32" s="586">
        <f t="shared" si="5"/>
        <v>6.8300000000000001E-3</v>
      </c>
      <c r="G32" s="572">
        <f t="shared" si="0"/>
        <v>1</v>
      </c>
      <c r="H32" s="587">
        <f t="shared" si="1"/>
        <v>4.4255182546577547</v>
      </c>
      <c r="I32" s="585"/>
      <c r="J32" s="585"/>
      <c r="K32" s="585">
        <f t="shared" si="2"/>
        <v>652.37841059107859</v>
      </c>
    </row>
    <row r="33" spans="1:11" ht="15.75">
      <c r="A33" s="561"/>
      <c r="B33" s="561"/>
      <c r="C33" s="561"/>
      <c r="D33" s="585"/>
      <c r="E33" s="585"/>
      <c r="F33" s="586"/>
      <c r="G33" s="572"/>
      <c r="H33" s="585">
        <f>SUM(H21:H32)</f>
        <v>345.19042386330483</v>
      </c>
      <c r="I33" s="585"/>
      <c r="J33" s="585"/>
      <c r="K33" s="588">
        <f>SUM(K21:K32)</f>
        <v>8120.625131900355</v>
      </c>
    </row>
    <row r="34" spans="1:11" ht="15.75">
      <c r="A34" s="561"/>
      <c r="B34" s="561"/>
      <c r="C34" s="561"/>
      <c r="D34" s="585"/>
      <c r="E34" s="585"/>
      <c r="F34" s="586"/>
      <c r="G34" s="572"/>
      <c r="H34" s="585"/>
      <c r="I34" s="585" t="s">
        <v>114</v>
      </c>
      <c r="J34" s="585"/>
      <c r="K34" s="11"/>
    </row>
    <row r="35" spans="1:11" ht="15.75">
      <c r="A35" s="561"/>
      <c r="B35" s="561"/>
      <c r="C35" s="561"/>
      <c r="D35" s="571"/>
      <c r="E35" s="571"/>
      <c r="F35" s="586"/>
      <c r="G35" s="572"/>
      <c r="H35" s="589" t="s">
        <v>562</v>
      </c>
      <c r="I35" s="585"/>
      <c r="J35" s="585"/>
      <c r="K35" s="585"/>
    </row>
    <row r="36" spans="1:11" ht="15.75">
      <c r="A36" s="561" t="s">
        <v>563</v>
      </c>
      <c r="B36" s="561" t="str">
        <f>"Year "&amp;TCOS!L4-1</f>
        <v>Year 2025</v>
      </c>
      <c r="C36" s="561"/>
      <c r="D36" s="571">
        <f>K33</f>
        <v>8120.625131900355</v>
      </c>
      <c r="E36" s="571"/>
      <c r="F36" s="586">
        <f>F32</f>
        <v>6.8300000000000001E-3</v>
      </c>
      <c r="G36" s="572">
        <v>12</v>
      </c>
      <c r="H36" s="585">
        <f>+G36*F36*D36</f>
        <v>665.56643581055312</v>
      </c>
      <c r="I36" s="585"/>
      <c r="J36" s="585"/>
      <c r="K36" s="588">
        <f>+D36+H36</f>
        <v>8786.1915677109082</v>
      </c>
    </row>
    <row r="37" spans="1:11" ht="15.75">
      <c r="A37" s="561"/>
      <c r="B37" s="561"/>
      <c r="C37" s="561"/>
      <c r="D37" s="571"/>
      <c r="E37" s="571"/>
      <c r="F37" s="586"/>
      <c r="G37" s="561"/>
      <c r="H37" s="585"/>
      <c r="I37" s="585"/>
      <c r="J37" s="585"/>
      <c r="K37" s="585"/>
    </row>
    <row r="38" spans="1:11" ht="15.75">
      <c r="A38" s="590" t="s">
        <v>564</v>
      </c>
      <c r="B38" s="561"/>
      <c r="C38" s="561"/>
      <c r="D38" s="585"/>
      <c r="E38" s="585"/>
      <c r="F38" s="586"/>
      <c r="G38" s="561"/>
      <c r="H38" s="589" t="s">
        <v>558</v>
      </c>
      <c r="I38" s="585"/>
      <c r="J38" s="585"/>
      <c r="K38" s="585"/>
    </row>
    <row r="39" spans="1:11" ht="15.75">
      <c r="A39" s="561" t="s">
        <v>185</v>
      </c>
      <c r="B39" s="561" t="str">
        <f>"Year "&amp;TCOS!L4</f>
        <v>Year 2026</v>
      </c>
      <c r="C39" s="561"/>
      <c r="D39" s="585">
        <f>-K36</f>
        <v>-8786.1915677109082</v>
      </c>
      <c r="E39" s="571"/>
      <c r="F39" s="586">
        <f>F15</f>
        <v>6.8300000000000001E-3</v>
      </c>
      <c r="G39" s="561"/>
      <c r="H39" s="585">
        <f xml:space="preserve"> -F39*D39</f>
        <v>60.009688407465504</v>
      </c>
      <c r="I39" s="585">
        <f>PMT(F39,12,K$36)</f>
        <v>-765.09346932106382</v>
      </c>
      <c r="J39" s="585"/>
      <c r="K39" s="585">
        <f>(+D39+D39*F39-I39)*-1</f>
        <v>8081.107786797309</v>
      </c>
    </row>
    <row r="40" spans="1:11" ht="15.75">
      <c r="A40" s="561" t="s">
        <v>559</v>
      </c>
      <c r="B40" s="561" t="str">
        <f>+B39</f>
        <v>Year 2026</v>
      </c>
      <c r="C40" s="561"/>
      <c r="D40" s="571">
        <f>-K39</f>
        <v>-8081.107786797309</v>
      </c>
      <c r="E40" s="571"/>
      <c r="F40" s="586">
        <f>+F39</f>
        <v>6.8300000000000001E-3</v>
      </c>
      <c r="G40" s="561"/>
      <c r="H40" s="585">
        <f xml:space="preserve"> -F40*D40</f>
        <v>55.193966183825623</v>
      </c>
      <c r="I40" s="585">
        <f>I39</f>
        <v>-765.09346932106382</v>
      </c>
      <c r="J40" s="585"/>
      <c r="K40" s="585">
        <f t="shared" ref="K40:K50" si="6">(+D40+D40*F40-I40)*-1</f>
        <v>7371.2082836600712</v>
      </c>
    </row>
    <row r="41" spans="1:11" ht="15.75">
      <c r="A41" s="561" t="s">
        <v>186</v>
      </c>
      <c r="B41" s="561" t="str">
        <f>+B40</f>
        <v>Year 2026</v>
      </c>
      <c r="C41" s="561"/>
      <c r="D41" s="571">
        <f t="shared" ref="D41:D50" si="7">-K40</f>
        <v>-7371.2082836600712</v>
      </c>
      <c r="E41" s="571"/>
      <c r="F41" s="586">
        <f t="shared" ref="F41:F50" si="8">+F40</f>
        <v>6.8300000000000001E-3</v>
      </c>
      <c r="G41" s="561"/>
      <c r="H41" s="585">
        <f t="shared" ref="H41:H50" si="9" xml:space="preserve"> -F41*D41</f>
        <v>50.345352577398288</v>
      </c>
      <c r="I41" s="585">
        <f t="shared" ref="I41:I50" si="10">I40</f>
        <v>-765.09346932106382</v>
      </c>
      <c r="J41" s="585"/>
      <c r="K41" s="585">
        <f t="shared" si="6"/>
        <v>6656.4601669164058</v>
      </c>
    </row>
    <row r="42" spans="1:11" ht="15.75">
      <c r="A42" s="561" t="s">
        <v>187</v>
      </c>
      <c r="B42" s="561" t="str">
        <f>+B41</f>
        <v>Year 2026</v>
      </c>
      <c r="C42" s="561"/>
      <c r="D42" s="571">
        <f t="shared" si="7"/>
        <v>-6656.4601669164058</v>
      </c>
      <c r="E42" s="571"/>
      <c r="F42" s="586">
        <f t="shared" si="8"/>
        <v>6.8300000000000001E-3</v>
      </c>
      <c r="G42" s="561"/>
      <c r="H42" s="585">
        <f t="shared" si="9"/>
        <v>45.463622940039052</v>
      </c>
      <c r="I42" s="585">
        <f t="shared" si="10"/>
        <v>-765.09346932106382</v>
      </c>
      <c r="J42" s="585"/>
      <c r="K42" s="585">
        <f t="shared" si="6"/>
        <v>5936.8303205353814</v>
      </c>
    </row>
    <row r="43" spans="1:11" ht="15.75">
      <c r="A43" s="561" t="s">
        <v>188</v>
      </c>
      <c r="B43" s="561" t="str">
        <f>+B42</f>
        <v>Year 2026</v>
      </c>
      <c r="C43" s="561"/>
      <c r="D43" s="571">
        <f t="shared" si="7"/>
        <v>-5936.8303205353814</v>
      </c>
      <c r="E43" s="571"/>
      <c r="F43" s="586">
        <f t="shared" si="8"/>
        <v>6.8300000000000001E-3</v>
      </c>
      <c r="G43" s="561"/>
      <c r="H43" s="585">
        <f t="shared" si="9"/>
        <v>40.548551089256655</v>
      </c>
      <c r="I43" s="585">
        <f>I42</f>
        <v>-765.09346932106382</v>
      </c>
      <c r="J43" s="585"/>
      <c r="K43" s="585">
        <f t="shared" si="6"/>
        <v>5212.2854023035743</v>
      </c>
    </row>
    <row r="44" spans="1:11" ht="15.75">
      <c r="A44" s="561" t="s">
        <v>382</v>
      </c>
      <c r="B44" s="561" t="str">
        <f>B43</f>
        <v>Year 2026</v>
      </c>
      <c r="C44" s="11"/>
      <c r="D44" s="571">
        <f t="shared" si="7"/>
        <v>-5212.2854023035743</v>
      </c>
      <c r="E44" s="571"/>
      <c r="F44" s="586">
        <f t="shared" si="8"/>
        <v>6.8300000000000001E-3</v>
      </c>
      <c r="G44" s="561"/>
      <c r="H44" s="585">
        <f t="shared" si="9"/>
        <v>35.599909297733412</v>
      </c>
      <c r="I44" s="585">
        <f t="shared" si="10"/>
        <v>-765.09346932106382</v>
      </c>
      <c r="J44" s="585"/>
      <c r="K44" s="585">
        <f t="shared" si="6"/>
        <v>4482.7918422802441</v>
      </c>
    </row>
    <row r="45" spans="1:11" ht="15.75">
      <c r="A45" s="561" t="s">
        <v>189</v>
      </c>
      <c r="B45" s="561" t="str">
        <f t="shared" ref="B45:B50" si="11">+B44</f>
        <v>Year 2026</v>
      </c>
      <c r="C45" s="561"/>
      <c r="D45" s="571">
        <f t="shared" si="7"/>
        <v>-4482.7918422802441</v>
      </c>
      <c r="E45" s="571"/>
      <c r="F45" s="586">
        <f t="shared" si="8"/>
        <v>6.8300000000000001E-3</v>
      </c>
      <c r="G45" s="561"/>
      <c r="H45" s="585">
        <f t="shared" si="9"/>
        <v>30.617468282774066</v>
      </c>
      <c r="I45" s="585">
        <f t="shared" si="10"/>
        <v>-765.09346932106382</v>
      </c>
      <c r="J45" s="585"/>
      <c r="K45" s="585">
        <f t="shared" si="6"/>
        <v>3748.3158412419543</v>
      </c>
    </row>
    <row r="46" spans="1:11" ht="15.75">
      <c r="A46" s="561" t="s">
        <v>190</v>
      </c>
      <c r="B46" s="561" t="str">
        <f t="shared" si="11"/>
        <v>Year 2026</v>
      </c>
      <c r="C46" s="561"/>
      <c r="D46" s="571">
        <f t="shared" si="7"/>
        <v>-3748.3158412419543</v>
      </c>
      <c r="E46" s="571"/>
      <c r="F46" s="586">
        <f t="shared" si="8"/>
        <v>6.8300000000000001E-3</v>
      </c>
      <c r="G46" s="561"/>
      <c r="H46" s="585">
        <f t="shared" si="9"/>
        <v>25.600997195682549</v>
      </c>
      <c r="I46" s="585">
        <f t="shared" si="10"/>
        <v>-765.09346932106382</v>
      </c>
      <c r="J46" s="585"/>
      <c r="K46" s="585">
        <f t="shared" si="6"/>
        <v>3008.8233691165728</v>
      </c>
    </row>
    <row r="47" spans="1:11" ht="15.75">
      <c r="A47" s="561" t="s">
        <v>192</v>
      </c>
      <c r="B47" s="561" t="str">
        <f t="shared" si="11"/>
        <v>Year 2026</v>
      </c>
      <c r="C47" s="561"/>
      <c r="D47" s="571">
        <f t="shared" si="7"/>
        <v>-3008.8233691165728</v>
      </c>
      <c r="E47" s="571"/>
      <c r="F47" s="586">
        <f t="shared" si="8"/>
        <v>6.8300000000000001E-3</v>
      </c>
      <c r="G47" s="561"/>
      <c r="H47" s="585">
        <f t="shared" si="9"/>
        <v>20.550263611066192</v>
      </c>
      <c r="I47" s="585">
        <f>I46</f>
        <v>-765.09346932106382</v>
      </c>
      <c r="J47" s="585"/>
      <c r="K47" s="585">
        <f t="shared" si="6"/>
        <v>2264.2801634065754</v>
      </c>
    </row>
    <row r="48" spans="1:11" ht="15.75">
      <c r="A48" s="561" t="s">
        <v>560</v>
      </c>
      <c r="B48" s="561" t="str">
        <f t="shared" si="11"/>
        <v>Year 2026</v>
      </c>
      <c r="C48" s="561"/>
      <c r="D48" s="571">
        <f t="shared" si="7"/>
        <v>-2264.2801634065754</v>
      </c>
      <c r="E48" s="571"/>
      <c r="F48" s="586">
        <f t="shared" si="8"/>
        <v>6.8300000000000001E-3</v>
      </c>
      <c r="G48" s="561"/>
      <c r="H48" s="585">
        <f t="shared" si="9"/>
        <v>15.46503351606691</v>
      </c>
      <c r="I48" s="585">
        <f t="shared" si="10"/>
        <v>-765.09346932106382</v>
      </c>
      <c r="J48" s="585"/>
      <c r="K48" s="585">
        <f t="shared" si="6"/>
        <v>1514.6517276015784</v>
      </c>
    </row>
    <row r="49" spans="1:11" ht="15.75">
      <c r="A49" s="561" t="s">
        <v>561</v>
      </c>
      <c r="B49" s="561" t="str">
        <f t="shared" si="11"/>
        <v>Year 2026</v>
      </c>
      <c r="C49" s="561"/>
      <c r="D49" s="571">
        <f t="shared" si="7"/>
        <v>-1514.6517276015784</v>
      </c>
      <c r="E49" s="571"/>
      <c r="F49" s="586">
        <f t="shared" si="8"/>
        <v>6.8300000000000001E-3</v>
      </c>
      <c r="G49" s="561"/>
      <c r="H49" s="585">
        <f t="shared" si="9"/>
        <v>10.34507129951878</v>
      </c>
      <c r="I49" s="585">
        <f t="shared" si="10"/>
        <v>-765.09346932106382</v>
      </c>
      <c r="J49" s="585"/>
      <c r="K49" s="585">
        <f t="shared" si="6"/>
        <v>759.90332958003341</v>
      </c>
    </row>
    <row r="50" spans="1:11" ht="15.75">
      <c r="A50" s="561" t="s">
        <v>191</v>
      </c>
      <c r="B50" s="561" t="str">
        <f t="shared" si="11"/>
        <v>Year 2026</v>
      </c>
      <c r="C50" s="561"/>
      <c r="D50" s="571">
        <f t="shared" si="7"/>
        <v>-759.90332958003341</v>
      </c>
      <c r="E50" s="571"/>
      <c r="F50" s="586">
        <f t="shared" si="8"/>
        <v>6.8300000000000001E-3</v>
      </c>
      <c r="G50" s="561"/>
      <c r="H50" s="587">
        <f t="shared" si="9"/>
        <v>5.1901397410316283</v>
      </c>
      <c r="I50" s="585">
        <f t="shared" si="10"/>
        <v>-765.09346932106382</v>
      </c>
      <c r="J50" s="585"/>
      <c r="K50" s="585">
        <f t="shared" si="6"/>
        <v>1.2505552149377763E-12</v>
      </c>
    </row>
    <row r="51" spans="1:11" ht="15.75">
      <c r="A51" s="561"/>
      <c r="B51" s="561"/>
      <c r="C51" s="561"/>
      <c r="D51" s="571"/>
      <c r="E51" s="571"/>
      <c r="F51" s="586"/>
      <c r="G51" s="561"/>
      <c r="H51" s="585">
        <f>SUM(H39:H50)</f>
        <v>394.93006414185862</v>
      </c>
      <c r="I51" s="585"/>
      <c r="J51" s="585"/>
      <c r="K51" s="585"/>
    </row>
    <row r="52" spans="1:11" ht="15">
      <c r="A52" s="11"/>
      <c r="B52" s="11"/>
      <c r="C52" s="11"/>
      <c r="D52" s="11"/>
      <c r="E52" s="11"/>
      <c r="F52" s="11"/>
      <c r="G52" s="11"/>
      <c r="H52" s="11"/>
      <c r="I52" s="592"/>
      <c r="J52" s="11"/>
      <c r="K52" s="11"/>
    </row>
    <row r="53" spans="1:11" ht="15.75">
      <c r="A53" s="561" t="s">
        <v>569</v>
      </c>
      <c r="B53" s="11"/>
      <c r="C53" s="11"/>
      <c r="D53" s="11"/>
      <c r="E53" s="11"/>
      <c r="F53" s="11"/>
      <c r="G53" s="11"/>
      <c r="H53" s="11"/>
      <c r="I53" s="593">
        <f>(SUM(I39:I50)*-1)</f>
        <v>9181.1216318527659</v>
      </c>
      <c r="J53" s="11"/>
      <c r="K53" s="11"/>
    </row>
    <row r="54" spans="1:11" ht="15.75">
      <c r="A54" s="561" t="s">
        <v>565</v>
      </c>
      <c r="B54" s="11"/>
      <c r="C54" s="11"/>
      <c r="D54" s="11"/>
      <c r="E54" s="11"/>
      <c r="F54" s="11"/>
      <c r="G54" s="11"/>
      <c r="H54" s="11"/>
      <c r="I54" s="594">
        <f>+H10</f>
        <v>-7775.4347080370499</v>
      </c>
      <c r="J54" s="11"/>
      <c r="K54" s="11"/>
    </row>
    <row r="55" spans="1:11" ht="15.75">
      <c r="A55" s="561" t="s">
        <v>566</v>
      </c>
      <c r="B55" s="11"/>
      <c r="C55" s="11"/>
      <c r="D55" s="11"/>
      <c r="E55" s="11"/>
      <c r="F55" s="11"/>
      <c r="G55" s="11"/>
      <c r="H55" s="11"/>
      <c r="I55" s="593">
        <f>(I53+I54)</f>
        <v>1405.686923815716</v>
      </c>
      <c r="J55" s="11"/>
      <c r="K55" s="11"/>
    </row>
    <row r="57" spans="1:11" ht="81.75" customHeight="1">
      <c r="A57" s="1344" t="s">
        <v>570</v>
      </c>
      <c r="B57" s="1344"/>
      <c r="C57" s="1344"/>
      <c r="D57" s="1344"/>
      <c r="E57" s="595"/>
      <c r="F57" s="595"/>
      <c r="G57" s="595"/>
      <c r="H57" s="595"/>
      <c r="I57" s="595"/>
      <c r="J57" s="595"/>
      <c r="K57" s="595"/>
    </row>
  </sheetData>
  <mergeCells count="5">
    <mergeCell ref="A1:K1"/>
    <mergeCell ref="A2:K2"/>
    <mergeCell ref="A3:K3"/>
    <mergeCell ref="D4:G4"/>
    <mergeCell ref="A57:D57"/>
  </mergeCells>
  <pageMargins left="0.7" right="0.7" top="0.75" bottom="0.75" header="0.3" footer="0.3"/>
  <pageSetup scale="5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G49"/>
  <sheetViews>
    <sheetView view="pageBreakPreview" topLeftCell="A3" zoomScale="60" zoomScaleNormal="70" workbookViewId="0">
      <selection activeCell="A2" sqref="A2"/>
    </sheetView>
  </sheetViews>
  <sheetFormatPr defaultColWidth="9.140625" defaultRowHeight="12.75"/>
  <cols>
    <col min="1" max="1" width="33.5703125" style="835" customWidth="1"/>
    <col min="2" max="2" width="17.140625" style="835" customWidth="1"/>
    <col min="3" max="3" width="23.42578125" style="835" customWidth="1"/>
    <col min="4" max="4" width="19.140625" style="835" customWidth="1"/>
    <col min="5" max="5" width="21.85546875" style="835" customWidth="1"/>
    <col min="6" max="16384" width="9.140625" style="835"/>
  </cols>
  <sheetData>
    <row r="1" spans="1:7" s="550" customFormat="1" ht="15.75">
      <c r="A1" s="645" t="s">
        <v>114</v>
      </c>
      <c r="G1" s="215"/>
    </row>
    <row r="2" spans="1:7" s="550" customFormat="1" ht="15.75">
      <c r="A2" s="645" t="s">
        <v>114</v>
      </c>
      <c r="G2" s="215"/>
    </row>
    <row r="3" spans="1:7" ht="19.5">
      <c r="A3" s="550"/>
      <c r="B3" s="1347" t="s">
        <v>391</v>
      </c>
      <c r="C3" s="1347"/>
      <c r="D3" s="1347"/>
      <c r="E3" s="1347"/>
    </row>
    <row r="4" spans="1:7" ht="19.5">
      <c r="A4" s="550"/>
      <c r="B4" s="1347" t="s">
        <v>772</v>
      </c>
      <c r="C4" s="1347"/>
      <c r="D4" s="1347"/>
      <c r="E4" s="1347"/>
    </row>
    <row r="5" spans="1:7" ht="19.5">
      <c r="A5" s="550"/>
      <c r="B5" s="1347" t="s">
        <v>773</v>
      </c>
      <c r="C5" s="1347"/>
      <c r="D5" s="1347"/>
      <c r="E5" s="1347"/>
    </row>
    <row r="6" spans="1:7" ht="19.5">
      <c r="A6" s="550"/>
      <c r="B6" s="1347" t="s">
        <v>1118</v>
      </c>
      <c r="C6" s="1347"/>
      <c r="D6" s="1347"/>
      <c r="E6" s="1347"/>
    </row>
    <row r="7" spans="1:7" ht="19.5">
      <c r="A7" s="550"/>
      <c r="B7" s="1347" t="s">
        <v>774</v>
      </c>
      <c r="C7" s="1347"/>
      <c r="D7" s="1347"/>
      <c r="E7" s="1347"/>
    </row>
    <row r="8" spans="1:7" ht="19.5">
      <c r="A8" s="550"/>
      <c r="B8" s="1347" t="s">
        <v>775</v>
      </c>
      <c r="C8" s="1347"/>
      <c r="D8" s="1347"/>
      <c r="E8" s="1347"/>
    </row>
    <row r="9" spans="1:7" ht="15">
      <c r="A9" s="550"/>
      <c r="B9" s="836"/>
      <c r="C9" s="836"/>
      <c r="D9" s="552" t="s">
        <v>114</v>
      </c>
      <c r="E9" s="550"/>
    </row>
    <row r="10" spans="1:7" ht="15.75">
      <c r="A10" s="836"/>
      <c r="B10" s="848" t="s">
        <v>399</v>
      </c>
      <c r="C10" s="550"/>
      <c r="D10" s="550"/>
      <c r="E10" s="849"/>
    </row>
    <row r="11" spans="1:7" ht="15.75">
      <c r="A11" s="552"/>
      <c r="B11" s="848" t="s">
        <v>403</v>
      </c>
      <c r="C11" s="848" t="s">
        <v>404</v>
      </c>
      <c r="D11" s="848"/>
      <c r="E11" s="550"/>
    </row>
    <row r="12" spans="1:7" ht="15.75" thickBot="1">
      <c r="A12" s="839"/>
      <c r="B12" s="836"/>
      <c r="C12" s="850" t="s">
        <v>499</v>
      </c>
      <c r="D12" s="550"/>
      <c r="E12" s="550"/>
    </row>
    <row r="13" spans="1:7" ht="15">
      <c r="A13" s="841" t="s">
        <v>406</v>
      </c>
      <c r="B13" s="842"/>
      <c r="C13" s="210"/>
      <c r="D13" s="550"/>
      <c r="E13" s="550"/>
    </row>
    <row r="14" spans="1:7" ht="15">
      <c r="A14" s="550"/>
      <c r="B14" s="851"/>
      <c r="C14" s="209"/>
      <c r="D14" s="852"/>
      <c r="E14" s="550"/>
    </row>
    <row r="15" spans="1:7" ht="15">
      <c r="A15" s="550" t="s">
        <v>407</v>
      </c>
      <c r="B15" s="214">
        <v>352</v>
      </c>
      <c r="C15" s="209">
        <v>1.9599999999999999E-2</v>
      </c>
      <c r="D15" s="852"/>
      <c r="E15" s="550"/>
    </row>
    <row r="16" spans="1:7" ht="15">
      <c r="A16" s="550" t="s">
        <v>408</v>
      </c>
      <c r="B16" s="214">
        <v>353</v>
      </c>
      <c r="C16" s="209">
        <v>2.5600000000000001E-2</v>
      </c>
      <c r="D16" s="852"/>
      <c r="E16" s="550"/>
    </row>
    <row r="17" spans="1:5" ht="15">
      <c r="A17" s="550" t="s">
        <v>409</v>
      </c>
      <c r="B17" s="214">
        <v>354</v>
      </c>
      <c r="C17" s="209">
        <v>6.7000000000000002E-3</v>
      </c>
      <c r="D17" s="852"/>
      <c r="E17" s="550"/>
    </row>
    <row r="18" spans="1:5" ht="15">
      <c r="A18" s="550" t="s">
        <v>410</v>
      </c>
      <c r="B18" s="214">
        <v>355</v>
      </c>
      <c r="C18" s="209">
        <v>3.0800000000000001E-2</v>
      </c>
      <c r="D18" s="852"/>
      <c r="E18" s="550"/>
    </row>
    <row r="19" spans="1:5" ht="15">
      <c r="A19" s="550" t="s">
        <v>769</v>
      </c>
      <c r="B19" s="214">
        <v>356</v>
      </c>
      <c r="C19" s="209">
        <v>1.3299999999999999E-2</v>
      </c>
      <c r="D19" s="852"/>
      <c r="E19" s="550"/>
    </row>
    <row r="20" spans="1:5" ht="15">
      <c r="A20" s="550" t="s">
        <v>411</v>
      </c>
      <c r="B20" s="214">
        <v>357</v>
      </c>
      <c r="C20" s="853" t="s">
        <v>611</v>
      </c>
      <c r="D20" s="550"/>
      <c r="E20" s="550"/>
    </row>
    <row r="21" spans="1:5" ht="15">
      <c r="A21" s="550" t="s">
        <v>412</v>
      </c>
      <c r="B21" s="214">
        <v>358</v>
      </c>
      <c r="C21" s="853" t="s">
        <v>611</v>
      </c>
      <c r="D21" s="852"/>
      <c r="E21" s="550"/>
    </row>
    <row r="22" spans="1:5" ht="15.75">
      <c r="A22" s="837" t="s">
        <v>776</v>
      </c>
      <c r="B22" s="854"/>
      <c r="C22" s="855">
        <v>2.5000000000000001E-2</v>
      </c>
      <c r="D22" s="852"/>
      <c r="E22" s="550"/>
    </row>
    <row r="23" spans="1:5" ht="15.75">
      <c r="A23" s="837"/>
      <c r="B23" s="854"/>
      <c r="C23" s="855"/>
      <c r="D23" s="852"/>
      <c r="E23" s="550"/>
    </row>
    <row r="24" spans="1:5" customFormat="1" ht="15.75">
      <c r="A24" s="465" t="s">
        <v>801</v>
      </c>
      <c r="C24" s="1"/>
    </row>
    <row r="25" spans="1:5" customFormat="1">
      <c r="C25" s="1"/>
    </row>
    <row r="26" spans="1:5" customFormat="1" ht="15">
      <c r="A26" s="856" t="s">
        <v>802</v>
      </c>
      <c r="B26" s="1034">
        <v>390</v>
      </c>
      <c r="C26" s="1035">
        <v>1.9099999999999999E-2</v>
      </c>
    </row>
    <row r="27" spans="1:5" customFormat="1" ht="15">
      <c r="A27" s="856" t="s">
        <v>803</v>
      </c>
      <c r="B27" s="1034">
        <v>391</v>
      </c>
      <c r="C27" s="1035">
        <v>2.8799999999999999E-2</v>
      </c>
    </row>
    <row r="28" spans="1:5" customFormat="1" ht="15">
      <c r="A28" s="856" t="s">
        <v>804</v>
      </c>
      <c r="B28" s="1034">
        <v>393</v>
      </c>
      <c r="C28" s="1035">
        <v>2.29E-2</v>
      </c>
    </row>
    <row r="29" spans="1:5" customFormat="1" ht="15">
      <c r="A29" s="856" t="s">
        <v>805</v>
      </c>
      <c r="B29" s="1034">
        <v>394</v>
      </c>
      <c r="C29" s="1035">
        <v>3.09E-2</v>
      </c>
    </row>
    <row r="30" spans="1:5" customFormat="1" ht="15">
      <c r="A30" s="856" t="s">
        <v>806</v>
      </c>
      <c r="B30" s="1034">
        <v>395</v>
      </c>
      <c r="C30" s="1035">
        <v>2.2800000000000001E-2</v>
      </c>
    </row>
    <row r="31" spans="1:5" customFormat="1" ht="15">
      <c r="A31" s="856" t="s">
        <v>807</v>
      </c>
      <c r="B31" s="1034">
        <v>397</v>
      </c>
      <c r="C31" s="1035">
        <v>3.7699999999999997E-2</v>
      </c>
    </row>
    <row r="32" spans="1:5" customFormat="1" ht="15">
      <c r="A32" s="856" t="s">
        <v>808</v>
      </c>
      <c r="B32" s="1034">
        <v>398</v>
      </c>
      <c r="C32" s="1035">
        <v>5.1499999999999997E-2</v>
      </c>
    </row>
    <row r="33" spans="1:5" customFormat="1" ht="15">
      <c r="A33" s="28"/>
      <c r="B33" s="856"/>
      <c r="C33" s="1035"/>
    </row>
    <row r="34" spans="1:5" customFormat="1" ht="15.75">
      <c r="A34" s="28"/>
      <c r="B34" s="857" t="s">
        <v>809</v>
      </c>
      <c r="C34" s="1035">
        <v>2.6800000000000001E-2</v>
      </c>
    </row>
    <row r="35" spans="1:5" customFormat="1" ht="15.75">
      <c r="A35" s="28"/>
      <c r="B35" s="857"/>
      <c r="C35" s="1036"/>
    </row>
    <row r="36" spans="1:5" ht="15.75">
      <c r="A36" s="550" t="s">
        <v>777</v>
      </c>
      <c r="B36" s="843"/>
      <c r="C36" s="216"/>
      <c r="D36" s="550"/>
      <c r="E36" s="550"/>
    </row>
    <row r="37" spans="1:5" ht="15">
      <c r="A37" s="1345"/>
      <c r="B37" s="1345"/>
      <c r="C37" s="1345"/>
      <c r="D37" s="1345"/>
      <c r="E37" s="550"/>
    </row>
    <row r="38" spans="1:5" ht="15">
      <c r="A38" s="1345" t="s">
        <v>1119</v>
      </c>
      <c r="B38" s="1345"/>
      <c r="C38" s="1345"/>
      <c r="D38" s="1345"/>
      <c r="E38" s="550"/>
    </row>
    <row r="39" spans="1:5" ht="15">
      <c r="A39" s="550"/>
      <c r="B39" s="550"/>
      <c r="C39" s="550"/>
      <c r="D39" s="550"/>
      <c r="E39" s="550"/>
    </row>
    <row r="40" spans="1:5" ht="15">
      <c r="A40" s="1345" t="s">
        <v>778</v>
      </c>
      <c r="B40" s="1345"/>
      <c r="C40" s="1345"/>
      <c r="D40" s="550"/>
      <c r="E40" s="550"/>
    </row>
    <row r="41" spans="1:5" ht="33" customHeight="1">
      <c r="A41" s="1345"/>
      <c r="B41" s="1345"/>
      <c r="C41" s="1345"/>
      <c r="D41" s="550"/>
      <c r="E41" s="550"/>
    </row>
    <row r="42" spans="1:5" ht="15">
      <c r="A42" s="550"/>
      <c r="B42" s="836"/>
      <c r="C42" s="209"/>
      <c r="D42" s="550"/>
      <c r="E42" s="550"/>
    </row>
    <row r="43" spans="1:5" ht="15">
      <c r="A43" s="1345"/>
      <c r="B43" s="1345"/>
      <c r="C43" s="1345"/>
      <c r="D43" s="1345"/>
      <c r="E43" s="550"/>
    </row>
    <row r="44" spans="1:5" ht="15.75">
      <c r="A44" s="844" t="s">
        <v>779</v>
      </c>
      <c r="B44" s="836"/>
      <c r="C44" s="209"/>
      <c r="D44" s="550"/>
      <c r="E44" s="550"/>
    </row>
    <row r="45" spans="1:5" ht="15">
      <c r="A45" s="1346" t="s">
        <v>817</v>
      </c>
      <c r="B45" s="1346"/>
      <c r="C45" s="1346"/>
      <c r="D45" s="849"/>
      <c r="E45" s="550"/>
    </row>
    <row r="46" spans="1:5" ht="15">
      <c r="A46" s="1346"/>
      <c r="B46" s="1346"/>
      <c r="C46" s="1346"/>
      <c r="D46" s="849"/>
      <c r="E46" s="550"/>
    </row>
    <row r="47" spans="1:5" ht="15">
      <c r="A47" s="1346"/>
      <c r="B47" s="1346"/>
      <c r="C47" s="1346"/>
      <c r="D47" s="849"/>
      <c r="E47" s="550"/>
    </row>
    <row r="48" spans="1:5" ht="15">
      <c r="A48" s="1346"/>
      <c r="B48" s="1346"/>
      <c r="C48" s="1346"/>
      <c r="D48" s="849"/>
      <c r="E48" s="550"/>
    </row>
    <row r="49" spans="1:5" ht="15">
      <c r="A49" s="1346"/>
      <c r="B49" s="1346"/>
      <c r="C49" s="1346"/>
      <c r="D49" s="849"/>
      <c r="E49" s="550"/>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48"/>
  <sheetViews>
    <sheetView view="pageBreakPreview" zoomScale="60" zoomScaleNormal="70" workbookViewId="0">
      <selection activeCell="A2" sqref="A2"/>
    </sheetView>
  </sheetViews>
  <sheetFormatPr defaultColWidth="9.140625" defaultRowHeight="12.75"/>
  <cols>
    <col min="1" max="1" width="9.140625" style="835"/>
    <col min="2" max="2" width="38.5703125" style="835" customWidth="1"/>
    <col min="3" max="3" width="21.85546875" style="835" customWidth="1"/>
    <col min="4" max="4" width="25.85546875" style="835" customWidth="1"/>
    <col min="5" max="16384" width="9.140625" style="835"/>
  </cols>
  <sheetData>
    <row r="1" spans="1:7" s="550" customFormat="1" ht="15.75">
      <c r="A1" s="645" t="s">
        <v>114</v>
      </c>
      <c r="G1" s="215"/>
    </row>
    <row r="2" spans="1:7" s="550" customFormat="1" ht="15.75">
      <c r="A2" s="645" t="s">
        <v>114</v>
      </c>
      <c r="G2" s="215"/>
    </row>
    <row r="3" spans="1:7" ht="19.5">
      <c r="A3" s="550"/>
      <c r="B3" s="1347" t="s">
        <v>391</v>
      </c>
      <c r="C3" s="1347"/>
      <c r="D3" s="1347"/>
      <c r="E3" s="1347"/>
    </row>
    <row r="4" spans="1:7" ht="19.5">
      <c r="A4" s="550"/>
      <c r="B4" s="1347" t="s">
        <v>772</v>
      </c>
      <c r="C4" s="1347"/>
      <c r="D4" s="1347"/>
      <c r="E4" s="1347"/>
    </row>
    <row r="5" spans="1:7" ht="19.5">
      <c r="A5" s="550"/>
      <c r="B5" s="1347" t="s">
        <v>773</v>
      </c>
      <c r="C5" s="1347"/>
      <c r="D5" s="1347"/>
      <c r="E5" s="1347"/>
    </row>
    <row r="6" spans="1:7" ht="19.5">
      <c r="A6" s="550"/>
      <c r="B6" s="1347" t="s">
        <v>780</v>
      </c>
      <c r="C6" s="1347"/>
      <c r="D6" s="1347"/>
      <c r="E6" s="1347"/>
    </row>
    <row r="7" spans="1:7" ht="19.5">
      <c r="A7" s="550"/>
      <c r="B7" s="1347" t="s">
        <v>774</v>
      </c>
      <c r="C7" s="1347"/>
      <c r="D7" s="1347"/>
      <c r="E7" s="1347"/>
    </row>
    <row r="8" spans="1:7" ht="19.5">
      <c r="A8" s="550"/>
      <c r="B8" s="1347" t="s">
        <v>781</v>
      </c>
      <c r="C8" s="1347"/>
      <c r="D8" s="1347"/>
      <c r="E8" s="1347"/>
    </row>
    <row r="9" spans="1:7" ht="15">
      <c r="A9" s="550"/>
      <c r="B9" s="836"/>
      <c r="C9" s="836"/>
      <c r="D9" s="552" t="s">
        <v>114</v>
      </c>
      <c r="E9" s="550"/>
    </row>
    <row r="10" spans="1:7" ht="15.75">
      <c r="A10" s="550"/>
      <c r="B10" s="836"/>
      <c r="C10" s="848" t="s">
        <v>399</v>
      </c>
      <c r="D10" s="550"/>
      <c r="E10" s="550"/>
    </row>
    <row r="11" spans="1:7" ht="15.75">
      <c r="A11" s="550"/>
      <c r="B11" s="552"/>
      <c r="C11" s="848" t="s">
        <v>403</v>
      </c>
      <c r="D11" s="848" t="s">
        <v>404</v>
      </c>
      <c r="E11" s="848"/>
    </row>
    <row r="12" spans="1:7" ht="15.75" thickBot="1">
      <c r="A12" s="550"/>
      <c r="B12" s="839"/>
      <c r="C12" s="836"/>
      <c r="D12" s="850" t="s">
        <v>499</v>
      </c>
      <c r="E12" s="550"/>
    </row>
    <row r="13" spans="1:7" ht="15">
      <c r="A13" s="550"/>
      <c r="B13" s="841" t="s">
        <v>406</v>
      </c>
      <c r="C13" s="842"/>
      <c r="D13" s="210"/>
      <c r="E13" s="550"/>
    </row>
    <row r="14" spans="1:7" ht="15">
      <c r="A14" s="550"/>
      <c r="B14" s="550"/>
      <c r="C14" s="851"/>
      <c r="D14" s="209"/>
      <c r="E14" s="852"/>
    </row>
    <row r="15" spans="1:7" ht="15">
      <c r="A15" s="550"/>
      <c r="B15" s="550" t="s">
        <v>782</v>
      </c>
      <c r="C15" s="550">
        <v>350.1</v>
      </c>
      <c r="D15" s="209">
        <v>1.44E-2</v>
      </c>
      <c r="E15" s="852"/>
    </row>
    <row r="16" spans="1:7" ht="15">
      <c r="A16" s="550"/>
      <c r="B16" s="550" t="s">
        <v>407</v>
      </c>
      <c r="C16" s="214">
        <v>352</v>
      </c>
      <c r="D16" s="209">
        <v>2.0799999999999999E-2</v>
      </c>
      <c r="E16" s="852"/>
    </row>
    <row r="17" spans="1:5" ht="15">
      <c r="A17" s="550"/>
      <c r="B17" s="550" t="s">
        <v>408</v>
      </c>
      <c r="C17" s="214">
        <v>353</v>
      </c>
      <c r="D17" s="209">
        <v>2.1499999999999998E-2</v>
      </c>
      <c r="E17" s="852"/>
    </row>
    <row r="18" spans="1:5" ht="15">
      <c r="A18" s="550"/>
      <c r="B18" s="550" t="s">
        <v>409</v>
      </c>
      <c r="C18" s="214">
        <v>354</v>
      </c>
      <c r="D18" s="209">
        <v>2.6100000000000002E-2</v>
      </c>
      <c r="E18" s="852"/>
    </row>
    <row r="19" spans="1:5" ht="15">
      <c r="A19" s="550"/>
      <c r="B19" s="550" t="s">
        <v>410</v>
      </c>
      <c r="C19" s="214">
        <v>355</v>
      </c>
      <c r="D19" s="209">
        <v>3.95E-2</v>
      </c>
      <c r="E19" s="852"/>
    </row>
    <row r="20" spans="1:5" ht="15">
      <c r="A20" s="550"/>
      <c r="B20" s="550" t="s">
        <v>769</v>
      </c>
      <c r="C20" s="214">
        <v>356</v>
      </c>
      <c r="D20" s="209">
        <v>2.9100000000000001E-2</v>
      </c>
      <c r="E20" s="852"/>
    </row>
    <row r="21" spans="1:5" ht="15">
      <c r="A21" s="550"/>
      <c r="B21" s="550" t="s">
        <v>411</v>
      </c>
      <c r="C21" s="214">
        <v>357</v>
      </c>
      <c r="D21" s="209">
        <v>2.9899999999999999E-2</v>
      </c>
      <c r="E21" s="852"/>
    </row>
    <row r="22" spans="1:5" ht="15">
      <c r="A22" s="550"/>
      <c r="B22" s="550" t="s">
        <v>412</v>
      </c>
      <c r="C22" s="214">
        <v>358</v>
      </c>
      <c r="D22" s="209">
        <v>2.6200000000000001E-2</v>
      </c>
      <c r="E22" s="852"/>
    </row>
    <row r="23" spans="1:5" ht="15.75" thickBot="1">
      <c r="A23" s="550"/>
      <c r="B23" s="1176"/>
      <c r="C23" s="1174"/>
      <c r="D23" s="1175"/>
      <c r="E23" s="852"/>
    </row>
    <row r="24" spans="1:5" ht="15.75">
      <c r="A24" s="550"/>
      <c r="B24" s="465" t="s">
        <v>801</v>
      </c>
      <c r="C24" s="214"/>
      <c r="D24" s="209"/>
      <c r="E24" s="852"/>
    </row>
    <row r="25" spans="1:5" ht="15">
      <c r="A25" s="550"/>
      <c r="B25"/>
      <c r="C25" s="214"/>
      <c r="D25" s="209"/>
      <c r="E25" s="852"/>
    </row>
    <row r="26" spans="1:5" ht="15">
      <c r="A26" s="550"/>
      <c r="B26" s="550" t="s">
        <v>1120</v>
      </c>
      <c r="C26" s="550">
        <v>389.1</v>
      </c>
      <c r="D26" s="209">
        <v>1.5900000000000001E-2</v>
      </c>
      <c r="E26" s="852"/>
    </row>
    <row r="27" spans="1:5" ht="15">
      <c r="A27" s="550"/>
      <c r="B27" s="550" t="s">
        <v>1121</v>
      </c>
      <c r="C27" s="214">
        <v>390</v>
      </c>
      <c r="D27" s="209">
        <v>3.9699999999999999E-2</v>
      </c>
      <c r="E27" s="852"/>
    </row>
    <row r="28" spans="1:5" ht="15">
      <c r="A28" s="550"/>
      <c r="B28" s="550" t="s">
        <v>1122</v>
      </c>
      <c r="C28" s="214">
        <v>391</v>
      </c>
      <c r="D28" s="209">
        <v>3.2000000000000001E-2</v>
      </c>
      <c r="E28" s="852"/>
    </row>
    <row r="29" spans="1:5" ht="15">
      <c r="A29" s="550"/>
      <c r="B29" s="550" t="s">
        <v>1123</v>
      </c>
      <c r="C29" s="214">
        <v>392</v>
      </c>
      <c r="D29" s="209">
        <v>3.5200000000000002E-2</v>
      </c>
      <c r="E29" s="852"/>
    </row>
    <row r="30" spans="1:5" ht="15">
      <c r="A30" s="550"/>
      <c r="B30" s="550" t="s">
        <v>1124</v>
      </c>
      <c r="C30" s="214">
        <v>393</v>
      </c>
      <c r="D30" s="209">
        <v>4.1500000000000002E-2</v>
      </c>
      <c r="E30" s="852"/>
    </row>
    <row r="31" spans="1:5" ht="15">
      <c r="A31" s="550"/>
      <c r="B31" s="550" t="s">
        <v>1125</v>
      </c>
      <c r="C31" s="214">
        <v>394</v>
      </c>
      <c r="D31" s="209">
        <v>4.2000000000000003E-2</v>
      </c>
      <c r="E31" s="852"/>
    </row>
    <row r="32" spans="1:5" ht="15">
      <c r="A32" s="550"/>
      <c r="B32" s="550" t="s">
        <v>806</v>
      </c>
      <c r="C32" s="214">
        <v>395</v>
      </c>
      <c r="D32" s="209">
        <v>5.7599999999999998E-2</v>
      </c>
      <c r="E32" s="852"/>
    </row>
    <row r="33" spans="1:5" ht="15">
      <c r="A33" s="550"/>
      <c r="B33" s="550" t="s">
        <v>1126</v>
      </c>
      <c r="C33" s="214">
        <v>396</v>
      </c>
      <c r="D33" s="209">
        <v>5.4300000000000001E-2</v>
      </c>
      <c r="E33" s="852"/>
    </row>
    <row r="34" spans="1:5" ht="15">
      <c r="A34" s="550"/>
      <c r="B34" s="550" t="s">
        <v>1127</v>
      </c>
      <c r="C34" s="214">
        <v>397</v>
      </c>
      <c r="D34" s="209">
        <v>5.6599999999999998E-2</v>
      </c>
      <c r="E34" s="852"/>
    </row>
    <row r="35" spans="1:5" ht="15">
      <c r="A35" s="550"/>
      <c r="B35" s="550" t="s">
        <v>1128</v>
      </c>
      <c r="C35" s="214">
        <v>398</v>
      </c>
      <c r="D35" s="209">
        <v>6.7299999999999999E-2</v>
      </c>
      <c r="E35" s="852"/>
    </row>
    <row r="36" spans="1:5" ht="15">
      <c r="A36" s="550"/>
      <c r="B36" s="550"/>
      <c r="C36" s="214"/>
      <c r="D36" s="209"/>
      <c r="E36" s="852"/>
    </row>
    <row r="37" spans="1:5" ht="15">
      <c r="A37" s="550"/>
      <c r="B37" s="550"/>
      <c r="C37" s="214"/>
      <c r="D37" s="209"/>
      <c r="E37" s="852"/>
    </row>
    <row r="38" spans="1:5" ht="15">
      <c r="A38" s="550"/>
      <c r="B38" s="550"/>
      <c r="C38" s="836"/>
      <c r="D38" s="209"/>
      <c r="E38" s="550"/>
    </row>
    <row r="39" spans="1:5" ht="15.75">
      <c r="A39" s="550"/>
      <c r="B39" s="550" t="s">
        <v>777</v>
      </c>
      <c r="C39" s="843"/>
      <c r="D39" s="216"/>
      <c r="E39" s="550"/>
    </row>
    <row r="40" spans="1:5" ht="15">
      <c r="A40" s="550"/>
      <c r="B40" s="1345"/>
      <c r="C40" s="1345"/>
      <c r="D40" s="1345"/>
      <c r="E40" s="1345"/>
    </row>
    <row r="41" spans="1:5" ht="15">
      <c r="A41" s="550"/>
      <c r="B41" s="1345" t="s">
        <v>783</v>
      </c>
      <c r="C41" s="1345"/>
      <c r="D41" s="1345"/>
      <c r="E41" s="1345"/>
    </row>
    <row r="42" spans="1:5" ht="15">
      <c r="A42" s="550"/>
      <c r="B42" s="1345"/>
      <c r="C42" s="1345"/>
      <c r="D42" s="1345"/>
      <c r="E42" s="1345"/>
    </row>
    <row r="43" spans="1:5" ht="15.75">
      <c r="A43" s="550"/>
      <c r="B43" s="844" t="s">
        <v>779</v>
      </c>
      <c r="C43" s="836"/>
      <c r="D43" s="209"/>
      <c r="E43" s="550"/>
    </row>
    <row r="44" spans="1:5" ht="15">
      <c r="A44" s="550"/>
      <c r="B44" s="1346" t="s">
        <v>817</v>
      </c>
      <c r="C44" s="1346"/>
      <c r="D44" s="1346"/>
      <c r="E44" s="849"/>
    </row>
    <row r="45" spans="1:5" ht="15">
      <c r="A45" s="550"/>
      <c r="B45" s="1346"/>
      <c r="C45" s="1346"/>
      <c r="D45" s="1346"/>
      <c r="E45" s="849"/>
    </row>
    <row r="46" spans="1:5" ht="15">
      <c r="A46" s="550"/>
      <c r="B46" s="1346"/>
      <c r="C46" s="1346"/>
      <c r="D46" s="1346"/>
      <c r="E46" s="849"/>
    </row>
    <row r="47" spans="1:5" ht="15">
      <c r="A47" s="550"/>
      <c r="B47" s="1346"/>
      <c r="C47" s="1346"/>
      <c r="D47" s="1346"/>
      <c r="E47" s="849"/>
    </row>
    <row r="48" spans="1:5" ht="15">
      <c r="A48" s="550"/>
      <c r="B48" s="1346"/>
      <c r="C48" s="1346"/>
      <c r="D48" s="1346"/>
      <c r="E48" s="849"/>
    </row>
  </sheetData>
  <mergeCells count="10">
    <mergeCell ref="B40:E40"/>
    <mergeCell ref="B41:E41"/>
    <mergeCell ref="B42:E42"/>
    <mergeCell ref="B44:D48"/>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60"/>
  <sheetViews>
    <sheetView view="pageBreakPreview" zoomScale="60" zoomScaleNormal="70" workbookViewId="0">
      <selection activeCell="A2" sqref="A2"/>
    </sheetView>
  </sheetViews>
  <sheetFormatPr defaultColWidth="9.140625" defaultRowHeight="12.75"/>
  <cols>
    <col min="1" max="1" width="38.85546875" style="835" customWidth="1"/>
    <col min="2" max="2" width="28.42578125" style="835" customWidth="1"/>
    <col min="3" max="3" width="23.140625" style="835" customWidth="1"/>
    <col min="4" max="16384" width="9.140625" style="835"/>
  </cols>
  <sheetData>
    <row r="1" spans="1:7" s="550" customFormat="1" ht="15.75">
      <c r="A1" s="645" t="s">
        <v>114</v>
      </c>
      <c r="G1" s="215"/>
    </row>
    <row r="2" spans="1:7" s="550" customFormat="1" ht="15.75">
      <c r="A2" s="645" t="s">
        <v>114</v>
      </c>
      <c r="G2" s="215"/>
    </row>
    <row r="3" spans="1:7" ht="19.5">
      <c r="A3" s="1347" t="s">
        <v>391</v>
      </c>
      <c r="B3" s="1347"/>
      <c r="C3" s="1347"/>
      <c r="D3" s="1347"/>
    </row>
    <row r="4" spans="1:7" ht="19.5">
      <c r="A4" s="1347" t="s">
        <v>772</v>
      </c>
      <c r="B4" s="1347"/>
      <c r="C4" s="1347"/>
      <c r="D4" s="1347"/>
    </row>
    <row r="5" spans="1:7" ht="19.5">
      <c r="A5" s="1347" t="s">
        <v>773</v>
      </c>
      <c r="B5" s="1347"/>
      <c r="C5" s="1347"/>
      <c r="D5" s="1347"/>
    </row>
    <row r="6" spans="1:7" ht="19.5">
      <c r="A6" s="1347" t="s">
        <v>1132</v>
      </c>
      <c r="B6" s="1347"/>
      <c r="C6" s="1347"/>
      <c r="D6" s="1347"/>
    </row>
    <row r="7" spans="1:7" ht="19.5">
      <c r="A7" s="1347" t="s">
        <v>774</v>
      </c>
      <c r="B7" s="1347"/>
      <c r="C7" s="1347"/>
      <c r="D7" s="1347"/>
    </row>
    <row r="8" spans="1:7" ht="19.5">
      <c r="A8" s="1347" t="s">
        <v>784</v>
      </c>
      <c r="B8" s="1347"/>
      <c r="C8" s="1347"/>
      <c r="D8" s="1347"/>
    </row>
    <row r="9" spans="1:7" ht="15">
      <c r="A9" s="836"/>
      <c r="B9" s="836"/>
      <c r="C9" s="552" t="s">
        <v>114</v>
      </c>
      <c r="D9" s="550"/>
    </row>
    <row r="10" spans="1:7" ht="15.75">
      <c r="A10" s="836"/>
      <c r="B10" s="848" t="s">
        <v>399</v>
      </c>
      <c r="C10" s="550"/>
      <c r="D10" s="550"/>
    </row>
    <row r="11" spans="1:7" ht="15.75">
      <c r="A11" s="552"/>
      <c r="B11" s="848" t="s">
        <v>403</v>
      </c>
      <c r="C11" s="848" t="s">
        <v>404</v>
      </c>
      <c r="D11" s="848"/>
    </row>
    <row r="12" spans="1:7" ht="15.75" thickBot="1">
      <c r="A12" s="839"/>
      <c r="B12" s="836"/>
      <c r="C12" s="850" t="s">
        <v>499</v>
      </c>
      <c r="D12" s="550"/>
    </row>
    <row r="13" spans="1:7" ht="15">
      <c r="A13" s="841" t="s">
        <v>406</v>
      </c>
      <c r="B13" s="842"/>
      <c r="C13" s="210"/>
      <c r="D13" s="550"/>
    </row>
    <row r="14" spans="1:7" ht="15">
      <c r="A14" s="550" t="s">
        <v>407</v>
      </c>
      <c r="B14" s="214">
        <v>352</v>
      </c>
      <c r="C14" s="209">
        <v>2.0199999999999999E-2</v>
      </c>
      <c r="D14" s="852"/>
    </row>
    <row r="15" spans="1:7" ht="15">
      <c r="A15" s="550" t="s">
        <v>408</v>
      </c>
      <c r="B15" s="214">
        <v>353</v>
      </c>
      <c r="C15" s="209">
        <v>2.29E-2</v>
      </c>
      <c r="D15" s="852"/>
    </row>
    <row r="16" spans="1:7" ht="15">
      <c r="A16" s="851"/>
      <c r="B16" s="214"/>
      <c r="C16" s="209"/>
      <c r="D16" s="852"/>
    </row>
    <row r="17" spans="1:4" ht="15">
      <c r="A17" s="550" t="s">
        <v>785</v>
      </c>
      <c r="B17" s="214">
        <v>354</v>
      </c>
      <c r="C17" s="209">
        <v>1.8800000000000001E-2</v>
      </c>
      <c r="D17" s="852"/>
    </row>
    <row r="18" spans="1:4" ht="15">
      <c r="A18" s="550" t="s">
        <v>786</v>
      </c>
      <c r="B18" s="214">
        <v>354</v>
      </c>
      <c r="C18" s="209">
        <v>1.8800000000000001E-2</v>
      </c>
      <c r="D18" s="852"/>
    </row>
    <row r="19" spans="1:4" ht="15">
      <c r="A19" s="550"/>
      <c r="B19" s="214"/>
      <c r="C19" s="209"/>
      <c r="D19" s="852"/>
    </row>
    <row r="20" spans="1:4" ht="15">
      <c r="A20" s="550" t="s">
        <v>787</v>
      </c>
      <c r="B20" s="214">
        <v>355</v>
      </c>
      <c r="C20" s="209">
        <v>3.5200000000000002E-2</v>
      </c>
      <c r="D20" s="852"/>
    </row>
    <row r="21" spans="1:4" ht="15">
      <c r="A21" s="550" t="s">
        <v>788</v>
      </c>
      <c r="B21" s="214">
        <v>355</v>
      </c>
      <c r="C21" s="209">
        <v>3.5200000000000002E-2</v>
      </c>
      <c r="D21" s="852"/>
    </row>
    <row r="22" spans="1:4" ht="15">
      <c r="A22" s="550"/>
      <c r="B22" s="214"/>
      <c r="C22" s="209"/>
      <c r="D22" s="852"/>
    </row>
    <row r="23" spans="1:4" ht="15">
      <c r="A23" s="550" t="s">
        <v>789</v>
      </c>
      <c r="B23" s="214">
        <v>356</v>
      </c>
      <c r="C23" s="209">
        <v>1.9099999999999999E-2</v>
      </c>
      <c r="D23" s="852"/>
    </row>
    <row r="24" spans="1:4" ht="15">
      <c r="A24" s="550" t="s">
        <v>790</v>
      </c>
      <c r="B24" s="214">
        <v>356</v>
      </c>
      <c r="C24" s="209">
        <v>1.9099999999999999E-2</v>
      </c>
      <c r="D24" s="852"/>
    </row>
    <row r="25" spans="1:4" ht="15">
      <c r="A25" s="550" t="s">
        <v>791</v>
      </c>
      <c r="B25" s="214">
        <v>356</v>
      </c>
      <c r="C25" s="209">
        <v>1.9099999999999999E-2</v>
      </c>
      <c r="D25" s="852"/>
    </row>
    <row r="26" spans="1:4" ht="15">
      <c r="A26" s="550" t="s">
        <v>792</v>
      </c>
      <c r="B26" s="214">
        <v>356</v>
      </c>
      <c r="C26" s="209">
        <v>1.9099999999999999E-2</v>
      </c>
      <c r="D26" s="852"/>
    </row>
    <row r="27" spans="1:4" ht="15">
      <c r="A27" s="550" t="s">
        <v>793</v>
      </c>
      <c r="B27" s="214">
        <v>356</v>
      </c>
      <c r="C27" s="209">
        <v>1.9099999999999999E-2</v>
      </c>
      <c r="D27" s="852"/>
    </row>
    <row r="28" spans="1:4" ht="15">
      <c r="A28" s="550"/>
      <c r="B28" s="214"/>
      <c r="C28" s="209"/>
      <c r="D28" s="852"/>
    </row>
    <row r="29" spans="1:4" ht="15">
      <c r="A29" s="550" t="s">
        <v>411</v>
      </c>
      <c r="B29" s="214">
        <v>357</v>
      </c>
      <c r="C29" s="209">
        <v>2.2599999999999999E-2</v>
      </c>
      <c r="D29" s="852"/>
    </row>
    <row r="30" spans="1:4" ht="15">
      <c r="A30" s="550" t="s">
        <v>412</v>
      </c>
      <c r="B30" s="214">
        <v>358</v>
      </c>
      <c r="C30" s="209">
        <v>3.27E-2</v>
      </c>
      <c r="D30" s="852"/>
    </row>
    <row r="31" spans="1:4" ht="15.75" thickBot="1">
      <c r="A31" s="1177"/>
      <c r="B31" s="1178"/>
      <c r="C31" s="1175"/>
      <c r="D31" s="550"/>
    </row>
    <row r="32" spans="1:4" ht="15">
      <c r="A32" s="851" t="s">
        <v>1131</v>
      </c>
      <c r="B32" s="214">
        <v>390</v>
      </c>
      <c r="C32" s="209">
        <v>2.1700000000000001E-2</v>
      </c>
    </row>
    <row r="33" spans="1:4" ht="15">
      <c r="A33" s="550" t="s">
        <v>1121</v>
      </c>
      <c r="B33" s="214">
        <v>391</v>
      </c>
      <c r="C33" s="209">
        <v>3.3300000000000003E-2</v>
      </c>
    </row>
    <row r="34" spans="1:4" ht="15">
      <c r="A34" s="550" t="s">
        <v>1122</v>
      </c>
      <c r="B34" s="214">
        <v>392</v>
      </c>
      <c r="C34" s="209">
        <v>0.02</v>
      </c>
    </row>
    <row r="35" spans="1:4" ht="15">
      <c r="A35" s="550" t="s">
        <v>1123</v>
      </c>
      <c r="B35" s="214">
        <v>393</v>
      </c>
      <c r="C35" s="209">
        <v>2.9399999999999999E-2</v>
      </c>
    </row>
    <row r="36" spans="1:4" ht="15">
      <c r="A36" s="550" t="s">
        <v>1124</v>
      </c>
      <c r="B36" s="214">
        <v>394</v>
      </c>
      <c r="C36" s="209">
        <v>3.5299999999999998E-2</v>
      </c>
    </row>
    <row r="37" spans="1:4" ht="15">
      <c r="A37" s="550" t="s">
        <v>1125</v>
      </c>
      <c r="B37" s="214">
        <v>395</v>
      </c>
      <c r="C37" s="209">
        <v>3.5700000000000003E-2</v>
      </c>
    </row>
    <row r="38" spans="1:4" ht="15">
      <c r="A38" s="550" t="s">
        <v>806</v>
      </c>
      <c r="B38" s="214">
        <v>396</v>
      </c>
      <c r="C38" s="209">
        <v>3.85E-2</v>
      </c>
    </row>
    <row r="39" spans="1:4" ht="15">
      <c r="A39" s="550" t="s">
        <v>1126</v>
      </c>
      <c r="B39" s="214">
        <v>397</v>
      </c>
      <c r="C39" s="209">
        <v>2.86E-2</v>
      </c>
    </row>
    <row r="40" spans="1:4" ht="15">
      <c r="A40" s="550" t="s">
        <v>1127</v>
      </c>
      <c r="B40" s="214">
        <v>397.16</v>
      </c>
      <c r="C40" s="209">
        <v>6.6699999999999995E-2</v>
      </c>
    </row>
    <row r="41" spans="1:4" ht="15">
      <c r="A41" s="550" t="s">
        <v>1130</v>
      </c>
      <c r="B41" s="214">
        <v>398</v>
      </c>
      <c r="C41" s="209">
        <v>0.04</v>
      </c>
    </row>
    <row r="42" spans="1:4" ht="15">
      <c r="A42" s="550" t="s">
        <v>1128</v>
      </c>
      <c r="B42" s="836"/>
      <c r="C42" s="209"/>
      <c r="D42" s="550"/>
    </row>
    <row r="43" spans="1:4" ht="15">
      <c r="A43" s="851"/>
      <c r="B43" s="836"/>
      <c r="C43" s="209"/>
      <c r="D43" s="550"/>
    </row>
    <row r="44" spans="1:4" ht="15">
      <c r="A44" s="839"/>
      <c r="B44" s="836"/>
      <c r="C44" s="209"/>
      <c r="D44" s="550"/>
    </row>
    <row r="45" spans="1:4" ht="15">
      <c r="A45" s="550"/>
      <c r="B45" s="836"/>
      <c r="C45" s="209"/>
      <c r="D45" s="550"/>
    </row>
    <row r="46" spans="1:4" ht="15.75">
      <c r="A46" s="550" t="s">
        <v>777</v>
      </c>
      <c r="B46" s="843"/>
      <c r="C46" s="216"/>
      <c r="D46" s="550"/>
    </row>
    <row r="47" spans="1:4" ht="15">
      <c r="A47" s="1345" t="s">
        <v>794</v>
      </c>
      <c r="B47" s="1345"/>
      <c r="C47" s="1345"/>
      <c r="D47" s="1345"/>
    </row>
    <row r="48" spans="1:4" ht="15">
      <c r="A48" s="550" t="s">
        <v>795</v>
      </c>
      <c r="B48" s="550"/>
      <c r="C48" s="550"/>
      <c r="D48" s="550"/>
    </row>
    <row r="49" spans="1:4" ht="15">
      <c r="A49" s="550" t="s">
        <v>796</v>
      </c>
      <c r="B49" s="550"/>
      <c r="C49" s="550"/>
      <c r="D49" s="550"/>
    </row>
    <row r="50" spans="1:4" ht="15">
      <c r="A50" s="550"/>
      <c r="B50" s="550"/>
      <c r="C50" s="550"/>
      <c r="D50" s="550"/>
    </row>
    <row r="51" spans="1:4" ht="15">
      <c r="A51" s="1348" t="s">
        <v>1129</v>
      </c>
      <c r="B51" s="1348"/>
      <c r="C51" s="1348"/>
      <c r="D51" s="550"/>
    </row>
    <row r="52" spans="1:4" ht="15">
      <c r="A52" s="1348"/>
      <c r="B52" s="1348"/>
      <c r="C52" s="1348"/>
      <c r="D52" s="550"/>
    </row>
    <row r="53" spans="1:4" ht="15">
      <c r="A53" s="550"/>
      <c r="B53" s="550"/>
      <c r="C53" s="550"/>
      <c r="D53" s="550"/>
    </row>
    <row r="54" spans="1:4" ht="15.75">
      <c r="A54" s="844" t="s">
        <v>797</v>
      </c>
      <c r="B54" s="836"/>
      <c r="C54" s="209"/>
      <c r="D54" s="550"/>
    </row>
    <row r="55" spans="1:4">
      <c r="A55" s="1346" t="s">
        <v>817</v>
      </c>
      <c r="B55" s="1346"/>
      <c r="C55" s="1346"/>
      <c r="D55" s="849"/>
    </row>
    <row r="56" spans="1:4">
      <c r="A56" s="1346"/>
      <c r="B56" s="1346"/>
      <c r="C56" s="1346"/>
      <c r="D56" s="849"/>
    </row>
    <row r="57" spans="1:4">
      <c r="A57" s="1346"/>
      <c r="B57" s="1346"/>
      <c r="C57" s="1346"/>
      <c r="D57" s="849"/>
    </row>
    <row r="58" spans="1:4">
      <c r="A58" s="1346"/>
      <c r="B58" s="1346"/>
      <c r="C58" s="1346"/>
      <c r="D58" s="849"/>
    </row>
    <row r="59" spans="1:4">
      <c r="A59" s="1346"/>
      <c r="B59" s="1346"/>
      <c r="C59" s="1346"/>
      <c r="D59" s="849"/>
    </row>
    <row r="60" spans="1:4" ht="15">
      <c r="A60" s="550"/>
      <c r="B60" s="550"/>
      <c r="C60" s="550"/>
      <c r="D60" s="550"/>
    </row>
  </sheetData>
  <mergeCells count="9">
    <mergeCell ref="A47:D47"/>
    <mergeCell ref="A55:C59"/>
    <mergeCell ref="A3:D3"/>
    <mergeCell ref="A4:D4"/>
    <mergeCell ref="A5:D5"/>
    <mergeCell ref="A6:D6"/>
    <mergeCell ref="A7:D7"/>
    <mergeCell ref="A8:D8"/>
    <mergeCell ref="A51:C52"/>
  </mergeCells>
  <pageMargins left="0.7" right="0.7" top="0.75" bottom="0.75" header="0.3" footer="0.3"/>
  <pageSetup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Sheet26">
    <pageSetUpPr fitToPage="1"/>
  </sheetPr>
  <dimension ref="A1:H45"/>
  <sheetViews>
    <sheetView defaultGridColor="0" colorId="22" zoomScale="75" workbookViewId="0">
      <selection activeCell="A2" sqref="A2"/>
    </sheetView>
  </sheetViews>
  <sheetFormatPr defaultColWidth="14.5703125" defaultRowHeight="15"/>
  <cols>
    <col min="1" max="1" width="41.5703125" style="550" customWidth="1"/>
    <col min="2" max="2" width="33.140625" style="550" customWidth="1"/>
    <col min="3" max="4" width="31.85546875" style="550" customWidth="1"/>
    <col min="5" max="5" width="16.5703125" style="550" customWidth="1"/>
    <col min="6" max="6" width="14.5703125" style="550" customWidth="1"/>
    <col min="7" max="7" width="4.85546875" style="550" customWidth="1"/>
    <col min="8" max="8" width="14.5703125" style="215" customWidth="1"/>
    <col min="9" max="9" width="18.42578125" style="550" customWidth="1"/>
    <col min="10" max="10" width="15.5703125" style="550" customWidth="1"/>
    <col min="11" max="11" width="6.140625" style="550" customWidth="1"/>
    <col min="12" max="12" width="14.5703125" style="550" customWidth="1"/>
    <col min="13" max="13" width="16.140625" style="550" customWidth="1"/>
    <col min="14" max="14" width="14.5703125" style="550" customWidth="1"/>
    <col min="15" max="15" width="4.85546875" style="550" customWidth="1"/>
    <col min="16" max="16" width="18.5703125" style="550" customWidth="1"/>
    <col min="17" max="16384" width="14.5703125" style="550"/>
  </cols>
  <sheetData>
    <row r="1" spans="1:7" s="550" customFormat="1" ht="15.75">
      <c r="A1" s="645" t="s">
        <v>114</v>
      </c>
      <c r="G1" s="215"/>
    </row>
    <row r="2" spans="1:7" s="550" customFormat="1" ht="15.75">
      <c r="A2" s="645" t="s">
        <v>114</v>
      </c>
      <c r="G2" s="215"/>
    </row>
    <row r="3" spans="1:7" ht="19.5">
      <c r="B3" s="1347" t="s">
        <v>391</v>
      </c>
      <c r="C3" s="1347"/>
      <c r="D3" s="1347"/>
      <c r="E3" s="1347"/>
    </row>
    <row r="4" spans="1:7" ht="19.5">
      <c r="B4" s="1347" t="s">
        <v>772</v>
      </c>
      <c r="C4" s="1347"/>
      <c r="D4" s="1347"/>
      <c r="E4" s="1347"/>
    </row>
    <row r="5" spans="1:7" ht="19.5">
      <c r="B5" s="1347" t="s">
        <v>773</v>
      </c>
      <c r="C5" s="1347"/>
      <c r="D5" s="1347"/>
      <c r="E5" s="1347"/>
    </row>
    <row r="6" spans="1:7" ht="19.5">
      <c r="B6" s="1347" t="s">
        <v>999</v>
      </c>
      <c r="C6" s="1347"/>
      <c r="D6" s="1347"/>
      <c r="E6" s="1347"/>
    </row>
    <row r="7" spans="1:7" ht="19.5">
      <c r="B7" s="1347" t="s">
        <v>774</v>
      </c>
      <c r="C7" s="1347"/>
      <c r="D7" s="1347"/>
      <c r="E7" s="1347"/>
    </row>
    <row r="8" spans="1:7" ht="19.5">
      <c r="B8" s="1347" t="s">
        <v>798</v>
      </c>
      <c r="C8" s="1347"/>
      <c r="D8" s="1347"/>
      <c r="E8" s="1347"/>
    </row>
    <row r="9" spans="1:7">
      <c r="B9" s="836"/>
      <c r="C9" s="836"/>
      <c r="D9" s="552" t="s">
        <v>114</v>
      </c>
    </row>
    <row r="10" spans="1:7">
      <c r="A10" s="1346"/>
      <c r="B10" s="1346"/>
      <c r="C10" s="1346"/>
      <c r="D10" s="849"/>
    </row>
    <row r="11" spans="1:7" ht="15.75">
      <c r="A11" s="836"/>
      <c r="B11" s="848" t="s">
        <v>399</v>
      </c>
    </row>
    <row r="12" spans="1:7" ht="15.75">
      <c r="A12" s="552"/>
      <c r="B12" s="848" t="s">
        <v>403</v>
      </c>
      <c r="C12" s="848" t="s">
        <v>404</v>
      </c>
      <c r="D12" s="848"/>
    </row>
    <row r="13" spans="1:7" ht="15.75" thickBot="1">
      <c r="C13" s="852" t="s">
        <v>499</v>
      </c>
    </row>
    <row r="14" spans="1:7">
      <c r="A14" s="841" t="s">
        <v>406</v>
      </c>
      <c r="B14" s="842"/>
      <c r="C14" s="210"/>
    </row>
    <row r="15" spans="1:7">
      <c r="A15" s="851"/>
      <c r="D15" s="852"/>
    </row>
    <row r="16" spans="1:7">
      <c r="A16" s="550" t="s">
        <v>407</v>
      </c>
      <c r="B16" s="214">
        <v>352</v>
      </c>
      <c r="C16" s="209">
        <v>1.15E-2</v>
      </c>
      <c r="D16" s="852"/>
    </row>
    <row r="17" spans="1:4">
      <c r="A17" s="550" t="s">
        <v>408</v>
      </c>
      <c r="B17" s="214">
        <v>353</v>
      </c>
      <c r="C17" s="209">
        <v>2.2200000000000001E-2</v>
      </c>
      <c r="D17" s="852"/>
    </row>
    <row r="18" spans="1:4">
      <c r="A18" s="550" t="s">
        <v>409</v>
      </c>
      <c r="B18" s="214">
        <v>354</v>
      </c>
      <c r="C18" s="209">
        <v>2.6499999999999999E-2</v>
      </c>
      <c r="D18" s="852"/>
    </row>
    <row r="19" spans="1:4">
      <c r="A19" s="550" t="s">
        <v>410</v>
      </c>
      <c r="B19" s="214">
        <v>355</v>
      </c>
      <c r="C19" s="209">
        <v>2.41E-2</v>
      </c>
      <c r="D19" s="852"/>
    </row>
    <row r="20" spans="1:4">
      <c r="A20" s="550" t="s">
        <v>769</v>
      </c>
      <c r="B20" s="214">
        <v>356</v>
      </c>
      <c r="C20" s="209">
        <v>1.32E-2</v>
      </c>
      <c r="D20" s="852"/>
    </row>
    <row r="21" spans="1:4">
      <c r="A21" s="550" t="s">
        <v>411</v>
      </c>
      <c r="B21" s="214">
        <v>351</v>
      </c>
      <c r="C21" s="209">
        <v>9.9400000000000002E-2</v>
      </c>
      <c r="D21" s="852"/>
    </row>
    <row r="22" spans="1:4">
      <c r="A22" s="550" t="s">
        <v>412</v>
      </c>
      <c r="B22" s="214">
        <v>351</v>
      </c>
      <c r="C22" s="209">
        <v>0.13980000000000001</v>
      </c>
      <c r="D22" s="852"/>
    </row>
    <row r="23" spans="1:4">
      <c r="A23" s="550" t="s">
        <v>770</v>
      </c>
      <c r="B23" s="214">
        <v>359</v>
      </c>
      <c r="C23" s="850" t="s">
        <v>799</v>
      </c>
      <c r="D23" s="852"/>
    </row>
    <row r="24" spans="1:4" ht="15.75" thickBot="1">
      <c r="B24" s="214"/>
      <c r="C24" s="209"/>
      <c r="D24" s="852"/>
    </row>
    <row r="25" spans="1:4">
      <c r="A25" s="841" t="s">
        <v>801</v>
      </c>
      <c r="B25" s="842"/>
      <c r="C25" s="210"/>
      <c r="D25" s="852"/>
    </row>
    <row r="26" spans="1:4" ht="15" customHeight="1">
      <c r="B26" s="214"/>
      <c r="C26" s="209"/>
      <c r="D26" s="852"/>
    </row>
    <row r="27" spans="1:4">
      <c r="A27" s="550" t="s">
        <v>802</v>
      </c>
      <c r="B27" s="214">
        <v>390</v>
      </c>
      <c r="C27" s="209">
        <v>1.0800000000000001E-2</v>
      </c>
      <c r="D27" s="852"/>
    </row>
    <row r="28" spans="1:4">
      <c r="A28" s="550" t="s">
        <v>803</v>
      </c>
      <c r="B28" s="214">
        <v>391</v>
      </c>
      <c r="C28" s="209">
        <v>2.1299999999999999E-2</v>
      </c>
      <c r="D28" s="852"/>
    </row>
    <row r="29" spans="1:4">
      <c r="A29" s="550" t="s">
        <v>804</v>
      </c>
      <c r="B29" s="214">
        <v>393</v>
      </c>
      <c r="C29" s="209">
        <v>1.78E-2</v>
      </c>
      <c r="D29" s="852"/>
    </row>
    <row r="30" spans="1:4" ht="15" customHeight="1">
      <c r="A30" s="550" t="s">
        <v>805</v>
      </c>
      <c r="B30" s="214">
        <v>394</v>
      </c>
      <c r="C30" s="209">
        <v>1.6500000000000001E-2</v>
      </c>
      <c r="D30" s="852"/>
    </row>
    <row r="31" spans="1:4">
      <c r="A31" s="550" t="s">
        <v>807</v>
      </c>
      <c r="B31" s="214">
        <v>397</v>
      </c>
      <c r="C31" s="209">
        <v>5.0900000000000001E-2</v>
      </c>
      <c r="D31" s="852"/>
    </row>
    <row r="32" spans="1:4">
      <c r="A32" s="550" t="s">
        <v>808</v>
      </c>
      <c r="B32" s="214">
        <v>398</v>
      </c>
      <c r="C32" s="209">
        <v>2.76E-2</v>
      </c>
      <c r="D32" s="852"/>
    </row>
    <row r="33" spans="1:4">
      <c r="B33" s="214"/>
      <c r="C33" s="209"/>
      <c r="D33" s="852"/>
    </row>
    <row r="34" spans="1:4">
      <c r="B34" s="214"/>
      <c r="C34" s="209"/>
      <c r="D34" s="852"/>
    </row>
    <row r="35" spans="1:4">
      <c r="B35" s="214"/>
      <c r="C35" s="209"/>
      <c r="D35" s="852"/>
    </row>
    <row r="36" spans="1:4">
      <c r="A36" s="851"/>
      <c r="B36" s="836"/>
      <c r="C36" s="209"/>
    </row>
    <row r="37" spans="1:4">
      <c r="A37" s="1345" t="s">
        <v>800</v>
      </c>
      <c r="B37" s="1345"/>
      <c r="C37" s="1345"/>
      <c r="D37" s="1345"/>
    </row>
    <row r="38" spans="1:4" ht="15.75">
      <c r="B38" s="843"/>
      <c r="C38" s="216"/>
    </row>
    <row r="39" spans="1:4">
      <c r="A39" s="1345"/>
      <c r="B39" s="1345"/>
      <c r="C39" s="1345"/>
      <c r="D39" s="1345"/>
    </row>
    <row r="40" spans="1:4" ht="15.75">
      <c r="A40" s="844" t="s">
        <v>797</v>
      </c>
      <c r="B40" s="836"/>
      <c r="C40" s="209"/>
    </row>
    <row r="41" spans="1:4">
      <c r="A41" s="1346" t="s">
        <v>817</v>
      </c>
      <c r="B41" s="1346"/>
      <c r="C41" s="1346"/>
      <c r="D41" s="849"/>
    </row>
    <row r="42" spans="1:4">
      <c r="A42" s="1346"/>
      <c r="B42" s="1346"/>
      <c r="C42" s="1346"/>
      <c r="D42" s="849"/>
    </row>
    <row r="43" spans="1:4">
      <c r="A43" s="1346"/>
      <c r="B43" s="1346"/>
      <c r="C43" s="1346"/>
      <c r="D43" s="849"/>
    </row>
    <row r="44" spans="1:4">
      <c r="A44" s="1346"/>
      <c r="B44" s="1346"/>
      <c r="C44" s="1346"/>
      <c r="D44" s="849"/>
    </row>
    <row r="45" spans="1:4">
      <c r="A45" s="1346"/>
      <c r="B45" s="1346"/>
      <c r="C45" s="1346"/>
      <c r="D45" s="849"/>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118"/>
  <sheetViews>
    <sheetView view="pageBreakPreview" topLeftCell="A19" zoomScale="85" zoomScaleNormal="75" zoomScaleSheetLayoutView="85" workbookViewId="0">
      <selection activeCell="E42" sqref="E42"/>
    </sheetView>
  </sheetViews>
  <sheetFormatPr defaultRowHeight="12.75"/>
  <cols>
    <col min="1" max="1" width="9.140625" style="15"/>
    <col min="2" max="2" width="0.85546875" style="24" customWidth="1"/>
    <col min="3" max="3" width="41.5703125" style="15" customWidth="1"/>
    <col min="4" max="4" width="34.42578125" style="15" bestFit="1" customWidth="1"/>
    <col min="5" max="5" width="23.140625" style="15" customWidth="1"/>
    <col min="6" max="6" width="3.140625" style="15" customWidth="1"/>
    <col min="7" max="7" width="24.5703125" style="15" customWidth="1"/>
    <col min="8" max="8" width="2.85546875" style="15" customWidth="1"/>
    <col min="9" max="9" width="20.85546875" style="15" customWidth="1"/>
    <col min="10" max="10" width="4.7109375" style="15" customWidth="1"/>
    <col min="11" max="11" width="18" style="15" bestFit="1" customWidth="1"/>
    <col min="12" max="12" width="20.42578125" style="15" customWidth="1"/>
    <col min="13" max="15" width="9.140625" style="15"/>
    <col min="16" max="16" width="10" style="15" bestFit="1" customWidth="1"/>
    <col min="17" max="17" width="17.7109375" style="15" customWidth="1"/>
    <col min="18" max="18" width="15.5703125" style="15" bestFit="1" customWidth="1"/>
    <col min="19" max="16384" width="9.140625" style="15"/>
  </cols>
  <sheetData>
    <row r="1" spans="1:15" ht="15.75">
      <c r="A1" s="645" t="s">
        <v>114</v>
      </c>
    </row>
    <row r="2" spans="1:15" ht="15.75">
      <c r="A2" s="645" t="s">
        <v>114</v>
      </c>
    </row>
    <row r="3" spans="1:15" ht="15">
      <c r="A3" s="1251" t="s">
        <v>387</v>
      </c>
      <c r="B3" s="1251"/>
      <c r="C3" s="1251"/>
      <c r="D3" s="1251"/>
      <c r="E3" s="1251"/>
      <c r="F3" s="1251"/>
      <c r="G3" s="1251"/>
      <c r="H3" s="1251"/>
      <c r="I3" s="1251"/>
      <c r="J3" s="28"/>
      <c r="K3" s="28"/>
    </row>
    <row r="4" spans="1:15" ht="15">
      <c r="A4" s="1252" t="str">
        <f>"Cost of Service Formula Rate Using Actual/Projected FF1 Balances"</f>
        <v>Cost of Service Formula Rate Using Actual/Projected FF1 Balances</v>
      </c>
      <c r="B4" s="1252"/>
      <c r="C4" s="1252"/>
      <c r="D4" s="1252"/>
      <c r="E4" s="1252"/>
      <c r="F4" s="1252"/>
      <c r="G4" s="1252"/>
      <c r="H4" s="1252"/>
      <c r="I4" s="1252"/>
      <c r="J4" s="73"/>
      <c r="K4" s="73"/>
    </row>
    <row r="5" spans="1:15" ht="15">
      <c r="A5" s="1252" t="s">
        <v>471</v>
      </c>
      <c r="B5" s="1252"/>
      <c r="C5" s="1252"/>
      <c r="D5" s="1252"/>
      <c r="E5" s="1252"/>
      <c r="F5" s="1252"/>
      <c r="G5" s="1252"/>
      <c r="H5" s="1252"/>
      <c r="I5" s="1252"/>
      <c r="J5" s="72"/>
      <c r="K5" s="72"/>
    </row>
    <row r="6" spans="1:15" ht="15">
      <c r="A6" s="1260" t="str">
        <f>TCOS!F9</f>
        <v>WHEELING POWER COMPANY</v>
      </c>
      <c r="B6" s="1260"/>
      <c r="C6" s="1260"/>
      <c r="D6" s="1260"/>
      <c r="E6" s="1260"/>
      <c r="F6" s="1260"/>
      <c r="G6" s="1260"/>
      <c r="H6" s="1260"/>
      <c r="I6" s="1260"/>
      <c r="J6" s="2"/>
      <c r="K6" s="2"/>
      <c r="L6"/>
      <c r="M6"/>
    </row>
    <row r="7" spans="1:15">
      <c r="C7" s="22"/>
      <c r="D7" s="22"/>
    </row>
    <row r="8" spans="1:15">
      <c r="C8" s="4" t="s">
        <v>162</v>
      </c>
      <c r="D8" s="4" t="s">
        <v>163</v>
      </c>
      <c r="E8" s="4" t="s">
        <v>164</v>
      </c>
      <c r="G8" s="4" t="s">
        <v>165</v>
      </c>
      <c r="I8" s="4" t="s">
        <v>84</v>
      </c>
      <c r="J8" s="4"/>
      <c r="K8" s="4"/>
      <c r="L8" s="4"/>
      <c r="M8"/>
      <c r="N8"/>
      <c r="O8"/>
    </row>
    <row r="9" spans="1:15">
      <c r="A9" s="71"/>
      <c r="I9" s="9"/>
      <c r="J9"/>
      <c r="K9"/>
      <c r="L9"/>
      <c r="M9"/>
      <c r="N9"/>
      <c r="O9"/>
    </row>
    <row r="10" spans="1:15" ht="12.75" customHeight="1">
      <c r="A10" s="8" t="s">
        <v>169</v>
      </c>
      <c r="C10" s="23"/>
      <c r="D10" s="23"/>
      <c r="E10" s="1258" t="str">
        <f>"Balance @ December 31, "&amp;TCOS!L4&amp;""</f>
        <v>Balance @ December 31, 2026</v>
      </c>
      <c r="F10" s="109"/>
      <c r="G10" s="1258" t="str">
        <f>"Balance @ December 31, "&amp;TCOS!L4-1&amp;""</f>
        <v>Balance @ December 31, 2025</v>
      </c>
      <c r="H10" s="109"/>
      <c r="I10" s="1261" t="str">
        <f>"Average Balance for "&amp;TCOS!L4&amp;""</f>
        <v>Average Balance for 2026</v>
      </c>
      <c r="J10"/>
      <c r="K10"/>
      <c r="L10"/>
      <c r="M10"/>
      <c r="N10"/>
      <c r="O10"/>
    </row>
    <row r="11" spans="1:15">
      <c r="A11" s="8" t="s">
        <v>106</v>
      </c>
      <c r="B11" s="7"/>
      <c r="C11" s="8" t="s">
        <v>167</v>
      </c>
      <c r="D11" s="8" t="s">
        <v>206</v>
      </c>
      <c r="E11" s="1259"/>
      <c r="F11" s="66"/>
      <c r="G11" s="1259"/>
      <c r="H11" s="179"/>
      <c r="I11" s="1259"/>
      <c r="J11"/>
      <c r="K11"/>
      <c r="L11"/>
      <c r="M11"/>
      <c r="N11"/>
      <c r="O11"/>
    </row>
    <row r="12" spans="1:15">
      <c r="A12" s="71"/>
      <c r="C12" s="22"/>
      <c r="D12" s="22"/>
      <c r="G12" s="190"/>
    </row>
    <row r="13" spans="1:15">
      <c r="A13" s="71"/>
      <c r="C13" s="22"/>
      <c r="D13" s="22"/>
    </row>
    <row r="14" spans="1:15">
      <c r="A14" s="71"/>
      <c r="C14" s="22"/>
      <c r="D14" s="22"/>
    </row>
    <row r="15" spans="1:15" ht="15.75">
      <c r="A15" s="71">
        <v>1</v>
      </c>
      <c r="C15" s="39" t="s">
        <v>509</v>
      </c>
      <c r="D15" s="39"/>
    </row>
    <row r="16" spans="1:15" ht="15.75">
      <c r="A16" s="71"/>
      <c r="C16" s="39"/>
      <c r="D16" s="39"/>
      <c r="H16"/>
    </row>
    <row r="17" spans="1:17">
      <c r="A17" s="71">
        <f>+A15+1</f>
        <v>2</v>
      </c>
      <c r="C17" s="47" t="s">
        <v>515</v>
      </c>
      <c r="D17" s="65" t="s">
        <v>517</v>
      </c>
      <c r="E17" s="604">
        <v>39949221.729999997</v>
      </c>
      <c r="G17" s="604">
        <v>39949221.729999997</v>
      </c>
      <c r="H17"/>
      <c r="I17" s="106">
        <f>IF(G17="",0,(E17+G17)/2)</f>
        <v>39949221.729999997</v>
      </c>
    </row>
    <row r="18" spans="1:17">
      <c r="A18" s="71">
        <f>+A17+1</f>
        <v>3</v>
      </c>
      <c r="C18" s="47" t="s">
        <v>519</v>
      </c>
      <c r="D18" s="71" t="str">
        <f>"WS B-1 - Actual Stmt. AF Ln. " &amp;'WS B-1 - Actual Stmt. AF'!A24&amp;" (Note 1)"</f>
        <v>WS B-1 - Actual Stmt. AF Ln. 4 (Note 1)</v>
      </c>
      <c r="E18" s="642">
        <v>0</v>
      </c>
      <c r="G18" s="642">
        <v>0</v>
      </c>
      <c r="H18"/>
      <c r="I18" s="106">
        <f>IF(G18="",0,(E18+G18)/2)</f>
        <v>0</v>
      </c>
    </row>
    <row r="19" spans="1:17" ht="15">
      <c r="A19" s="71">
        <f>+A18+1</f>
        <v>4</v>
      </c>
      <c r="C19" s="47" t="s">
        <v>520</v>
      </c>
      <c r="D19" s="71" t="str">
        <f>"WS B-1 - Actual Stmt. AF Ln. " &amp;'WS B-1 - Actual Stmt. AF'!A23&amp;" (Note 1)"</f>
        <v>WS B-1 - Actual Stmt. AF Ln. 3 (Note 1)</v>
      </c>
      <c r="E19" s="643">
        <v>39949221.729999997</v>
      </c>
      <c r="G19" s="643">
        <v>39949221.729999997</v>
      </c>
      <c r="I19" s="165">
        <f>IF(G19="",0,(E19+G19)/2)</f>
        <v>39949221.729999997</v>
      </c>
    </row>
    <row r="20" spans="1:17">
      <c r="A20" s="71">
        <f>+A19+1</f>
        <v>5</v>
      </c>
      <c r="C20" s="47" t="s">
        <v>516</v>
      </c>
      <c r="D20" s="110" t="str">
        <f>"Ln "&amp;A17&amp;" - ln "&amp;A18&amp;" - ln "&amp;A19&amp;""</f>
        <v>Ln 2 - ln 3 - ln 4</v>
      </c>
      <c r="E20" s="16">
        <f>+E17-E18-E19</f>
        <v>0</v>
      </c>
      <c r="G20" s="16">
        <f>+G17-G18-G19</f>
        <v>0</v>
      </c>
      <c r="I20" s="106">
        <f>+I17-I18-I19</f>
        <v>0</v>
      </c>
    </row>
    <row r="21" spans="1:17">
      <c r="A21" s="71"/>
      <c r="C21" s="47"/>
      <c r="D21" s="110"/>
    </row>
    <row r="22" spans="1:17">
      <c r="A22" s="71"/>
      <c r="C22" s="47"/>
      <c r="D22" s="110"/>
      <c r="K22" s="16"/>
      <c r="L22" s="16"/>
      <c r="M22" s="16"/>
      <c r="N22" s="16"/>
      <c r="O22" s="16"/>
    </row>
    <row r="23" spans="1:17" ht="15.75">
      <c r="A23" s="71">
        <f>+A20+1</f>
        <v>6</v>
      </c>
      <c r="C23" s="39" t="s">
        <v>510</v>
      </c>
      <c r="D23" s="110"/>
      <c r="K23" s="16"/>
      <c r="L23" s="16"/>
      <c r="M23" s="16"/>
      <c r="N23" s="16"/>
      <c r="O23" s="16"/>
    </row>
    <row r="24" spans="1:17">
      <c r="A24" s="71"/>
      <c r="C24" s="47"/>
      <c r="D24" s="110"/>
      <c r="K24" s="16"/>
      <c r="L24" s="16"/>
      <c r="M24" s="16"/>
      <c r="N24" s="16"/>
      <c r="O24" s="16"/>
    </row>
    <row r="25" spans="1:17">
      <c r="A25" s="71">
        <f>+A23+1</f>
        <v>7</v>
      </c>
      <c r="C25" s="47" t="s">
        <v>515</v>
      </c>
      <c r="D25" s="65" t="s">
        <v>449</v>
      </c>
      <c r="E25" s="604">
        <v>156582300.02868316</v>
      </c>
      <c r="G25" s="604">
        <v>154158348.93130368</v>
      </c>
      <c r="H25"/>
      <c r="I25" s="106">
        <f>IF(G25="",0,(E25+G25)/2)</f>
        <v>155370324.4799934</v>
      </c>
      <c r="K25" s="16"/>
      <c r="L25" s="16"/>
      <c r="M25" s="16"/>
      <c r="N25" s="16"/>
      <c r="O25" s="16"/>
    </row>
    <row r="26" spans="1:17">
      <c r="A26" s="71">
        <f>+A25+1</f>
        <v>8</v>
      </c>
      <c r="C26" s="47" t="s">
        <v>519</v>
      </c>
      <c r="D26" s="71" t="str">
        <f>"WS B-1 - Actual Stmt. AF Ln. " &amp;'WS B-1 - Actual Stmt. AF'!A72&amp;" (Note 1)"</f>
        <v>WS B-1 - Actual Stmt. AF Ln. 7 (Note 1)</v>
      </c>
      <c r="E26" s="642">
        <v>5453443.6900000004</v>
      </c>
      <c r="G26" s="642">
        <v>5453443.6900000004</v>
      </c>
      <c r="H26"/>
      <c r="I26" s="106">
        <f>IF(G26="",0,(E26+G26)/2)</f>
        <v>5453443.6900000004</v>
      </c>
      <c r="K26" s="16"/>
      <c r="L26" s="16"/>
      <c r="M26" s="16"/>
      <c r="N26" s="16"/>
      <c r="O26" s="16"/>
    </row>
    <row r="27" spans="1:17" ht="15">
      <c r="A27" s="71">
        <f>+A26+1</f>
        <v>9</v>
      </c>
      <c r="C27" s="47" t="s">
        <v>520</v>
      </c>
      <c r="D27" s="71" t="str">
        <f>"WS B-1 - Actual Stmt. AF Ln. " &amp;'WS B-1 - Actual Stmt. AF'!A71&amp;" (Note 1)"</f>
        <v>WS B-1 - Actual Stmt. AF Ln. 6 (Note 1)</v>
      </c>
      <c r="E27" s="643">
        <v>130221726.68700984</v>
      </c>
      <c r="G27" s="643">
        <v>127948072.37083173</v>
      </c>
      <c r="I27" s="165">
        <f>IF(G27="",0,(E27+G27)/2)</f>
        <v>129084899.52892078</v>
      </c>
      <c r="K27" s="16"/>
      <c r="L27" s="16"/>
      <c r="M27" s="16"/>
      <c r="N27" s="16"/>
      <c r="O27" s="16"/>
    </row>
    <row r="28" spans="1:17">
      <c r="A28" s="71">
        <f>+A27+1</f>
        <v>10</v>
      </c>
      <c r="C28" s="47" t="s">
        <v>516</v>
      </c>
      <c r="D28" s="110" t="str">
        <f>"Ln "&amp;A25&amp;" - ln "&amp;A26&amp;" - ln "&amp;A27&amp;""</f>
        <v>Ln 7 - ln 8 - ln 9</v>
      </c>
      <c r="E28" s="16">
        <f>+E25-E26-E27</f>
        <v>20907129.651673317</v>
      </c>
      <c r="G28" s="16">
        <f>+G25-G26-G27</f>
        <v>20756832.870471954</v>
      </c>
      <c r="I28" s="106">
        <f>+I25-I26-I27</f>
        <v>20831981.261072621</v>
      </c>
      <c r="K28" s="16"/>
      <c r="L28" s="16"/>
      <c r="M28" s="16"/>
      <c r="N28" s="16"/>
      <c r="O28" s="16"/>
    </row>
    <row r="29" spans="1:17">
      <c r="A29" s="71"/>
      <c r="C29" s="47"/>
      <c r="D29" s="110"/>
      <c r="K29" s="16"/>
      <c r="L29" s="16"/>
      <c r="M29" s="16"/>
      <c r="N29" s="16"/>
      <c r="O29" s="16"/>
      <c r="P29" s="16"/>
      <c r="Q29" s="16"/>
    </row>
    <row r="30" spans="1:17">
      <c r="A30" s="71"/>
      <c r="C30" s="47"/>
      <c r="D30" s="110"/>
      <c r="E30" s="16"/>
      <c r="G30" s="16"/>
      <c r="K30" s="16"/>
      <c r="L30" s="16"/>
      <c r="M30" s="16"/>
      <c r="N30" s="16"/>
      <c r="O30" s="16"/>
      <c r="P30" s="16"/>
      <c r="Q30" s="16"/>
    </row>
    <row r="31" spans="1:17" ht="15.75">
      <c r="A31" s="71">
        <f>+A28+1</f>
        <v>11</v>
      </c>
      <c r="C31" s="39" t="s">
        <v>511</v>
      </c>
      <c r="D31" s="110"/>
      <c r="K31" s="16"/>
      <c r="L31" s="16"/>
      <c r="M31" s="16"/>
      <c r="N31" s="16"/>
      <c r="O31" s="16"/>
      <c r="P31" s="16"/>
      <c r="Q31" s="16"/>
    </row>
    <row r="32" spans="1:17" ht="15.75">
      <c r="A32" s="71"/>
      <c r="C32" s="39"/>
      <c r="D32" s="110"/>
      <c r="K32" s="16"/>
      <c r="L32" s="16"/>
      <c r="M32" s="16"/>
      <c r="N32" s="16"/>
      <c r="O32" s="16"/>
      <c r="P32" s="16"/>
      <c r="Q32" s="16"/>
    </row>
    <row r="33" spans="1:17">
      <c r="A33" s="71">
        <f>+A31+1</f>
        <v>12</v>
      </c>
      <c r="C33" s="47" t="s">
        <v>515</v>
      </c>
      <c r="D33" s="65" t="s">
        <v>518</v>
      </c>
      <c r="E33" s="604">
        <v>67608020.211988091</v>
      </c>
      <c r="G33" s="604">
        <v>90652300.021534026</v>
      </c>
      <c r="H33"/>
      <c r="I33" s="106">
        <f>IF(G33="",0,(E33+G33)/2)</f>
        <v>79130160.116761059</v>
      </c>
      <c r="K33" s="16"/>
      <c r="L33" s="16"/>
      <c r="M33" s="16"/>
      <c r="N33" s="16"/>
      <c r="O33" s="16"/>
      <c r="P33" s="16"/>
      <c r="Q33" s="16"/>
    </row>
    <row r="34" spans="1:17">
      <c r="A34" s="71">
        <f>+A33+1</f>
        <v>13</v>
      </c>
      <c r="C34" s="47" t="s">
        <v>519</v>
      </c>
      <c r="D34" s="71" t="str">
        <f>"WS B-1 - Actual Stmt. AF Ln. " &amp;'WS B-1 - Actual Stmt. AF'!A184&amp;" (Note 1)"</f>
        <v>WS B-1 - Actual Stmt. AF Ln. 13 (Note 1)</v>
      </c>
      <c r="E34" s="642">
        <v>-0.01</v>
      </c>
      <c r="G34" s="642">
        <v>0</v>
      </c>
      <c r="H34"/>
      <c r="I34" s="106">
        <f>IF(G34="",0,(E34+G34)/2)</f>
        <v>-5.0000000000000001E-3</v>
      </c>
      <c r="K34" s="775"/>
      <c r="L34" s="775"/>
      <c r="M34" s="775"/>
      <c r="N34" s="775"/>
      <c r="O34" s="775"/>
    </row>
    <row r="35" spans="1:17" ht="15">
      <c r="A35" s="71">
        <f>+A34+1</f>
        <v>14</v>
      </c>
      <c r="C35" s="47" t="s">
        <v>520</v>
      </c>
      <c r="D35" s="71" t="str">
        <f>"WS B-1 - Actual Stmt. AF Ln. " &amp;'WS B-1 - Actual Stmt. AF'!A183&amp;" (Note 1)"</f>
        <v>WS B-1 - Actual Stmt. AF Ln. 12 (Note 1)</v>
      </c>
      <c r="E35" s="643">
        <v>67213169.936086878</v>
      </c>
      <c r="G35" s="643">
        <v>90281266.560536161</v>
      </c>
      <c r="I35" s="165">
        <f>IF(G35="",0,(E35+G35)/2)</f>
        <v>78747218.24831152</v>
      </c>
    </row>
    <row r="36" spans="1:17">
      <c r="A36" s="71">
        <f>+A35+1</f>
        <v>15</v>
      </c>
      <c r="C36" s="47" t="s">
        <v>516</v>
      </c>
      <c r="D36" s="110" t="str">
        <f>"Ln "&amp;A33&amp;" - ln "&amp;A34&amp;" - ln "&amp;A35&amp;""</f>
        <v>Ln 12 - ln 13 - ln 14</v>
      </c>
      <c r="E36" s="16">
        <f>+E33-E34-E35</f>
        <v>394850.28590121865</v>
      </c>
      <c r="G36" s="16">
        <f>+G33-G34-G35</f>
        <v>371033.4609978646</v>
      </c>
      <c r="I36" s="106">
        <f>+I33-I34-I35</f>
        <v>382941.87344953418</v>
      </c>
    </row>
    <row r="37" spans="1:17" ht="15.75">
      <c r="A37" s="71"/>
      <c r="C37" s="39"/>
      <c r="D37" s="110"/>
      <c r="K37" s="16"/>
      <c r="L37" s="16"/>
      <c r="M37" s="16"/>
      <c r="N37" s="16"/>
      <c r="O37" s="16"/>
      <c r="P37" s="16"/>
    </row>
    <row r="38" spans="1:17">
      <c r="A38" s="71"/>
      <c r="C38" s="47"/>
      <c r="D38" s="110"/>
      <c r="K38" s="16"/>
      <c r="L38" s="16"/>
      <c r="M38" s="16"/>
      <c r="N38" s="16"/>
      <c r="O38" s="16"/>
      <c r="P38" s="16"/>
    </row>
    <row r="39" spans="1:17" ht="15.75">
      <c r="A39" s="71">
        <f>+A36+1</f>
        <v>16</v>
      </c>
      <c r="C39" s="39" t="s">
        <v>512</v>
      </c>
      <c r="D39" s="110"/>
      <c r="K39" s="16"/>
      <c r="L39" s="16"/>
      <c r="M39" s="16"/>
      <c r="N39" s="16"/>
      <c r="O39" s="16"/>
      <c r="P39" s="16"/>
    </row>
    <row r="40" spans="1:17">
      <c r="A40" s="71"/>
      <c r="C40" s="47"/>
      <c r="D40" s="110"/>
      <c r="K40" s="16"/>
      <c r="L40" s="16"/>
      <c r="M40" s="16"/>
      <c r="N40" s="16"/>
      <c r="O40" s="16"/>
      <c r="P40" s="16"/>
    </row>
    <row r="41" spans="1:17">
      <c r="A41" s="71">
        <f>+A39+1</f>
        <v>17</v>
      </c>
      <c r="C41" s="47" t="s">
        <v>515</v>
      </c>
      <c r="D41" s="65" t="s">
        <v>514</v>
      </c>
      <c r="E41" s="604">
        <v>2303992.709925428</v>
      </c>
      <c r="G41" s="604">
        <v>16860291.455498349</v>
      </c>
      <c r="H41"/>
      <c r="I41" s="106">
        <f>IF(G41="",0,(E41+G41)/2)</f>
        <v>9582142.0827118885</v>
      </c>
      <c r="K41" s="16"/>
      <c r="L41" s="16"/>
      <c r="M41" s="16"/>
      <c r="N41" s="16"/>
      <c r="O41" s="16"/>
    </row>
    <row r="42" spans="1:17">
      <c r="A42" s="71">
        <f>+A41+1</f>
        <v>18</v>
      </c>
      <c r="C42" s="47" t="s">
        <v>519</v>
      </c>
      <c r="D42" s="71" t="str">
        <f>"WS B-2 - Actual Stmt. AG Ln. " &amp;'WS B-2 - Actual Stmt. AG'!A110&amp;" (Note 1)"</f>
        <v>WS B-2 - Actual Stmt. AG Ln. 4 (Note 1)</v>
      </c>
      <c r="E42" s="642">
        <v>6721555.8799999999</v>
      </c>
      <c r="G42" s="642">
        <v>6721555.8799999999</v>
      </c>
      <c r="H42"/>
      <c r="I42" s="106">
        <f>IF(G42="",0,(E42+G42)/2)</f>
        <v>6721555.8799999999</v>
      </c>
      <c r="K42" s="16"/>
      <c r="L42" s="16"/>
      <c r="M42" s="16"/>
      <c r="N42" s="16"/>
      <c r="O42" s="16"/>
    </row>
    <row r="43" spans="1:17" ht="15">
      <c r="A43" s="71">
        <f>+A42+1</f>
        <v>19</v>
      </c>
      <c r="C43" s="47" t="s">
        <v>520</v>
      </c>
      <c r="D43" s="71" t="str">
        <f>"WS B-2 - Actual Stmt. AG Ln. " &amp;'WS B-2 - Actual Stmt. AG'!A109&amp;" (Note 1)"</f>
        <v>WS B-2 - Actual Stmt. AG Ln. 3 (Note 1)</v>
      </c>
      <c r="E43" s="643">
        <v>-5049311.9295415105</v>
      </c>
      <c r="G43" s="643">
        <v>5459886.2910222942</v>
      </c>
      <c r="I43" s="165">
        <f>IF(G43="",0,(E43+G43)/2)</f>
        <v>205287.18074039184</v>
      </c>
      <c r="K43" s="16"/>
      <c r="L43" s="16"/>
      <c r="M43" s="16"/>
      <c r="N43" s="16"/>
      <c r="O43" s="16"/>
    </row>
    <row r="44" spans="1:17">
      <c r="A44" s="71">
        <f>+A43+1</f>
        <v>20</v>
      </c>
      <c r="C44" s="47" t="s">
        <v>516</v>
      </c>
      <c r="D44" s="110" t="str">
        <f>"Ln "&amp;A41&amp;" - ln "&amp;A42&amp;" - ln "&amp;A43&amp;""</f>
        <v>Ln 17 - ln 18 - ln 19</v>
      </c>
      <c r="E44" s="16">
        <f>+E41-E42-E43</f>
        <v>631748.75946693867</v>
      </c>
      <c r="G44" s="16">
        <f>+G41-G42-G43</f>
        <v>4678849.2844760558</v>
      </c>
      <c r="I44" s="106">
        <f>+I41-I42-I43</f>
        <v>2655299.0219714968</v>
      </c>
    </row>
    <row r="45" spans="1:17">
      <c r="A45" s="71"/>
      <c r="C45" s="47"/>
      <c r="D45" s="110"/>
    </row>
    <row r="46" spans="1:17">
      <c r="A46" s="71"/>
      <c r="C46" s="47"/>
      <c r="D46" s="110"/>
    </row>
    <row r="47" spans="1:17" ht="15.75">
      <c r="A47" s="71">
        <f>+A44+1</f>
        <v>21</v>
      </c>
      <c r="C47" s="39" t="s">
        <v>513</v>
      </c>
      <c r="D47" s="110"/>
    </row>
    <row r="48" spans="1:17">
      <c r="A48" s="71"/>
      <c r="C48" s="47"/>
      <c r="D48" s="110"/>
      <c r="K48" s="16"/>
      <c r="L48" s="16"/>
      <c r="M48" s="16"/>
      <c r="N48" s="16"/>
      <c r="O48" s="16"/>
    </row>
    <row r="49" spans="1:15">
      <c r="A49" s="71">
        <f>+A47+1</f>
        <v>22</v>
      </c>
      <c r="C49" s="47" t="s">
        <v>521</v>
      </c>
      <c r="D49" s="65" t="s">
        <v>470</v>
      </c>
      <c r="E49" s="1058">
        <v>0</v>
      </c>
      <c r="F49" s="113"/>
      <c r="G49" s="1058">
        <v>0</v>
      </c>
      <c r="H49"/>
      <c r="I49" s="106">
        <f>IF(G49="",0,(E49+G49)/2)</f>
        <v>0</v>
      </c>
      <c r="K49" s="16"/>
      <c r="L49" s="16"/>
      <c r="M49" s="16"/>
      <c r="N49" s="16"/>
      <c r="O49" s="16"/>
    </row>
    <row r="50" spans="1:15" ht="15">
      <c r="A50" s="71">
        <f>+A49+1</f>
        <v>23</v>
      </c>
      <c r="C50" s="47" t="s">
        <v>522</v>
      </c>
      <c r="D50" s="71" t="s">
        <v>67</v>
      </c>
      <c r="E50" s="1059">
        <v>0</v>
      </c>
      <c r="F50" s="113"/>
      <c r="G50" s="1059">
        <v>0</v>
      </c>
      <c r="H50"/>
      <c r="I50" s="165">
        <f>IF(G50="",0,(E50+G50)/2)</f>
        <v>0</v>
      </c>
      <c r="K50" s="16"/>
      <c r="L50" s="16"/>
      <c r="M50" s="16"/>
      <c r="N50" s="16"/>
      <c r="O50" s="16"/>
    </row>
    <row r="51" spans="1:15">
      <c r="A51" s="71">
        <f>+A50+1</f>
        <v>24</v>
      </c>
      <c r="C51" s="47" t="s">
        <v>388</v>
      </c>
      <c r="D51" s="110" t="str">
        <f>"Ln "&amp;A49&amp;" - ln "&amp;A50&amp;""</f>
        <v>Ln 22 - ln 23</v>
      </c>
      <c r="E51" s="1060">
        <f>+E49-E50</f>
        <v>0</v>
      </c>
      <c r="F51" s="113"/>
      <c r="G51" s="1060">
        <f>+G49-G50</f>
        <v>0</v>
      </c>
      <c r="H51"/>
      <c r="I51" s="106">
        <f>+I49-I50</f>
        <v>0</v>
      </c>
      <c r="K51" s="16"/>
      <c r="L51" s="16"/>
      <c r="M51" s="16"/>
      <c r="N51" s="16"/>
      <c r="O51" s="16"/>
    </row>
    <row r="52" spans="1:15">
      <c r="A52" s="71">
        <f>+A51+1</f>
        <v>25</v>
      </c>
      <c r="C52" s="47" t="s">
        <v>516</v>
      </c>
      <c r="D52" s="71" t="str">
        <f>"WS B-1 - Actual Stmt. AF Ln. " &amp;'WS B-1 - Actual Stmt. AF'!A197&amp;" (Note 1)"</f>
        <v>WS B-1 - Actual Stmt. AF Ln. 20 (Note 1)</v>
      </c>
      <c r="E52" s="1058">
        <v>0</v>
      </c>
      <c r="F52" s="113"/>
      <c r="G52" s="1058">
        <v>0</v>
      </c>
      <c r="H52"/>
      <c r="I52" s="106">
        <f>IF(G52="",0,(E52+G52)/2)</f>
        <v>0</v>
      </c>
      <c r="K52" s="16"/>
      <c r="L52" s="16"/>
      <c r="M52" s="16"/>
      <c r="N52" s="16"/>
      <c r="O52" s="16"/>
    </row>
    <row r="53" spans="1:15">
      <c r="A53" s="71"/>
      <c r="C53" s="47"/>
      <c r="D53" s="47"/>
      <c r="K53" s="16"/>
      <c r="L53" s="16"/>
      <c r="M53" s="16"/>
      <c r="N53" s="16"/>
      <c r="O53" s="16"/>
    </row>
    <row r="54" spans="1:15">
      <c r="A54" s="53" t="s">
        <v>68</v>
      </c>
      <c r="C54" s="1257" t="s">
        <v>810</v>
      </c>
      <c r="D54" s="1257"/>
      <c r="E54" s="1257"/>
      <c r="F54" s="1257"/>
      <c r="G54" s="1257"/>
      <c r="H54" s="1257"/>
      <c r="I54" s="1257"/>
    </row>
    <row r="55" spans="1:15">
      <c r="A55" s="53"/>
      <c r="C55" s="1257"/>
      <c r="D55" s="1257"/>
      <c r="E55" s="1257"/>
      <c r="F55" s="1257"/>
      <c r="G55" s="1257"/>
      <c r="H55" s="1257"/>
      <c r="I55" s="1257"/>
    </row>
    <row r="56" spans="1:15">
      <c r="A56" s="71"/>
      <c r="C56" s="47"/>
      <c r="D56" s="47"/>
    </row>
    <row r="57" spans="1:15">
      <c r="A57" s="71" t="s">
        <v>69</v>
      </c>
      <c r="B57" s="24" t="s">
        <v>70</v>
      </c>
      <c r="C57" s="47"/>
      <c r="D57" s="47"/>
    </row>
    <row r="58" spans="1:15">
      <c r="B58" s="3"/>
      <c r="C58" s="3"/>
      <c r="D58" s="3"/>
      <c r="E58" s="3"/>
      <c r="F58" s="3"/>
      <c r="G58" s="3"/>
      <c r="H58" s="3"/>
      <c r="I58" s="3"/>
      <c r="J58" s="3"/>
      <c r="K58" s="3"/>
    </row>
    <row r="59" spans="1:15">
      <c r="B59" s="3"/>
      <c r="C59" s="3"/>
      <c r="D59" s="3"/>
      <c r="E59" s="3"/>
      <c r="F59" s="3"/>
      <c r="G59" s="3"/>
      <c r="H59" s="3"/>
      <c r="I59" s="3"/>
      <c r="J59" s="3"/>
      <c r="K59" s="3"/>
    </row>
    <row r="60" spans="1:15">
      <c r="B60" s="3"/>
      <c r="C60" s="3"/>
      <c r="D60" s="3"/>
      <c r="E60" s="3"/>
      <c r="F60" s="3"/>
      <c r="G60" s="3"/>
      <c r="H60" s="3"/>
      <c r="I60" s="3"/>
      <c r="J60" s="3"/>
      <c r="K60" s="3"/>
      <c r="L60" s="3"/>
    </row>
    <row r="61" spans="1:15">
      <c r="B61" s="3"/>
      <c r="C61" s="3"/>
      <c r="D61" s="3"/>
      <c r="E61" s="3"/>
      <c r="F61" s="3"/>
      <c r="G61" s="3"/>
      <c r="H61" s="3"/>
      <c r="I61" s="3"/>
      <c r="J61" s="3"/>
      <c r="K61" s="3"/>
      <c r="L61" s="3"/>
    </row>
    <row r="62" spans="1:15">
      <c r="B62" s="3"/>
      <c r="C62" s="3"/>
      <c r="D62" s="3"/>
      <c r="E62" s="3"/>
      <c r="F62" s="3"/>
      <c r="G62" s="3"/>
      <c r="H62" s="3"/>
      <c r="I62" s="3"/>
      <c r="J62" s="3"/>
      <c r="K62" s="3"/>
      <c r="L62" s="3"/>
    </row>
    <row r="63" spans="1:15">
      <c r="B63" s="3"/>
      <c r="C63" s="3"/>
      <c r="D63" s="3"/>
      <c r="E63" s="3"/>
      <c r="F63" s="3"/>
      <c r="G63" s="3"/>
      <c r="H63" s="3"/>
      <c r="I63" s="3"/>
      <c r="J63" s="3"/>
      <c r="K63" s="3"/>
      <c r="L63" s="3"/>
    </row>
    <row r="64" spans="1:15">
      <c r="B64" s="3"/>
      <c r="C64" s="3"/>
      <c r="D64" s="3"/>
      <c r="E64" s="3"/>
      <c r="F64" s="3"/>
      <c r="G64" s="3"/>
      <c r="H64" s="3"/>
      <c r="I64" s="3"/>
      <c r="J64" s="3"/>
      <c r="K64" s="3"/>
      <c r="L64" s="3"/>
    </row>
    <row r="65" spans="2:12">
      <c r="B65" s="3"/>
      <c r="C65" s="3"/>
      <c r="D65" s="3"/>
      <c r="E65" s="3"/>
      <c r="F65" s="3"/>
      <c r="G65" s="3"/>
      <c r="H65" s="3"/>
      <c r="I65" s="3"/>
      <c r="J65" s="3"/>
      <c r="K65" s="3"/>
      <c r="L65" s="3"/>
    </row>
    <row r="66" spans="2:12">
      <c r="B66" s="3"/>
      <c r="C66" s="3"/>
      <c r="D66" s="3"/>
      <c r="E66" s="3"/>
      <c r="F66" s="3"/>
      <c r="G66" s="3"/>
      <c r="H66" s="3"/>
      <c r="I66" s="3"/>
      <c r="J66" s="3"/>
      <c r="K66" s="3"/>
      <c r="L66" s="3"/>
    </row>
    <row r="67" spans="2:12">
      <c r="B67" s="3"/>
      <c r="C67" s="3"/>
      <c r="D67" s="3"/>
      <c r="E67" s="3"/>
      <c r="F67" s="3"/>
      <c r="G67" s="3"/>
      <c r="H67" s="3"/>
      <c r="I67" s="3"/>
      <c r="J67" s="3"/>
      <c r="K67" s="3"/>
      <c r="L67" s="3"/>
    </row>
    <row r="68" spans="2:12">
      <c r="B68" s="3"/>
      <c r="C68" s="3"/>
      <c r="D68" s="3"/>
      <c r="E68" s="3"/>
      <c r="F68" s="3"/>
      <c r="G68" s="3"/>
      <c r="H68" s="3"/>
      <c r="I68" s="3"/>
      <c r="J68" s="3"/>
      <c r="K68" s="3"/>
      <c r="L68" s="3"/>
    </row>
    <row r="69" spans="2:12">
      <c r="B69" s="3"/>
      <c r="C69" s="3"/>
      <c r="D69" s="3"/>
      <c r="E69" s="3"/>
      <c r="F69" s="3"/>
      <c r="G69" s="3"/>
      <c r="H69" s="3"/>
      <c r="I69" s="3"/>
      <c r="J69" s="3"/>
      <c r="K69" s="3"/>
      <c r="L69" s="3"/>
    </row>
    <row r="70" spans="2:12">
      <c r="B70" s="3"/>
      <c r="C70" s="3"/>
      <c r="D70" s="3"/>
      <c r="E70" s="3"/>
      <c r="F70" s="3"/>
      <c r="G70" s="3"/>
      <c r="H70" s="3"/>
      <c r="I70" s="3"/>
      <c r="J70" s="3"/>
      <c r="K70" s="3"/>
      <c r="L70" s="3"/>
    </row>
    <row r="71" spans="2:12">
      <c r="B71" s="3"/>
      <c r="C71" s="3"/>
      <c r="D71" s="3"/>
      <c r="E71" s="3"/>
      <c r="F71" s="3"/>
      <c r="G71" s="3"/>
      <c r="H71" s="3"/>
      <c r="I71" s="3"/>
      <c r="J71" s="3"/>
      <c r="K71" s="3"/>
      <c r="L71" s="3"/>
    </row>
    <row r="72" spans="2:12">
      <c r="B72" s="3"/>
      <c r="C72" s="3"/>
      <c r="D72" s="3"/>
      <c r="E72" s="3"/>
      <c r="F72" s="3"/>
      <c r="G72" s="3"/>
      <c r="H72" s="3"/>
      <c r="I72" s="3"/>
      <c r="J72" s="3"/>
      <c r="K72" s="3"/>
      <c r="L72" s="3"/>
    </row>
    <row r="73" spans="2:12">
      <c r="B73" s="3"/>
      <c r="C73" s="3"/>
      <c r="D73" s="3"/>
      <c r="E73" s="3"/>
      <c r="F73" s="3"/>
      <c r="G73" s="3"/>
      <c r="H73" s="3"/>
      <c r="I73" s="3"/>
      <c r="J73" s="3"/>
      <c r="K73" s="3"/>
      <c r="L73" s="3"/>
    </row>
    <row r="74" spans="2:12">
      <c r="B74" s="3"/>
      <c r="C74" s="3"/>
      <c r="D74" s="3"/>
      <c r="E74" s="3"/>
      <c r="F74" s="3"/>
      <c r="G74" s="3"/>
      <c r="H74" s="3"/>
      <c r="I74" s="3"/>
      <c r="J74" s="3"/>
      <c r="K74" s="3"/>
      <c r="L74" s="3"/>
    </row>
    <row r="75" spans="2:12">
      <c r="B75" s="3"/>
      <c r="C75" s="3"/>
      <c r="D75" s="3"/>
      <c r="E75" s="3"/>
      <c r="F75" s="3"/>
      <c r="G75" s="3"/>
      <c r="H75" s="3"/>
      <c r="I75" s="3"/>
      <c r="J75" s="3"/>
      <c r="K75" s="3"/>
      <c r="L75" s="3"/>
    </row>
    <row r="76" spans="2:12">
      <c r="B76" s="3"/>
      <c r="C76" s="3"/>
      <c r="D76" s="3"/>
      <c r="E76" s="3"/>
      <c r="F76" s="3"/>
      <c r="G76" s="3"/>
      <c r="H76" s="3"/>
      <c r="I76" s="3"/>
      <c r="J76" s="3"/>
      <c r="K76" s="3"/>
      <c r="L76" s="3"/>
    </row>
    <row r="77" spans="2:12">
      <c r="B77" s="3"/>
      <c r="C77" s="3"/>
      <c r="D77" s="3"/>
      <c r="E77" s="3"/>
      <c r="F77" s="3"/>
      <c r="G77" s="3"/>
      <c r="H77" s="3"/>
      <c r="I77" s="3"/>
      <c r="J77" s="3"/>
      <c r="K77" s="3"/>
      <c r="L77" s="3"/>
    </row>
    <row r="78" spans="2:12">
      <c r="B78" s="3"/>
      <c r="C78" s="3"/>
      <c r="D78" s="3"/>
      <c r="E78" s="3"/>
      <c r="F78" s="3"/>
      <c r="G78" s="3"/>
      <c r="H78" s="3"/>
      <c r="I78" s="3"/>
      <c r="J78" s="3"/>
      <c r="K78" s="3"/>
      <c r="L78" s="3"/>
    </row>
    <row r="79" spans="2:12">
      <c r="B79" s="3"/>
      <c r="C79" s="3"/>
      <c r="D79" s="3"/>
      <c r="E79" s="3"/>
      <c r="F79" s="3"/>
      <c r="G79" s="3"/>
      <c r="H79" s="3"/>
      <c r="I79" s="3"/>
      <c r="J79" s="3"/>
      <c r="K79" s="3"/>
      <c r="L79" s="3"/>
    </row>
    <row r="80" spans="2:12">
      <c r="B80" s="3"/>
      <c r="C80" s="3"/>
      <c r="D80" s="3"/>
      <c r="E80" s="3"/>
      <c r="F80" s="3"/>
      <c r="G80" s="3"/>
      <c r="H80" s="3"/>
      <c r="I80" s="3"/>
      <c r="J80" s="3"/>
      <c r="K80" s="3"/>
      <c r="L80" s="3"/>
    </row>
    <row r="81" spans="2:12">
      <c r="B81" s="3"/>
      <c r="C81" s="3"/>
      <c r="D81" s="3"/>
      <c r="E81" s="3"/>
      <c r="F81" s="3"/>
      <c r="G81" s="3"/>
      <c r="H81" s="3"/>
      <c r="I81" s="3"/>
      <c r="J81" s="3"/>
      <c r="K81" s="3"/>
      <c r="L81" s="3"/>
    </row>
    <row r="82" spans="2:12">
      <c r="B82" s="3"/>
      <c r="C82" s="3"/>
      <c r="D82" s="3"/>
      <c r="E82" s="3"/>
      <c r="F82" s="3"/>
      <c r="G82" s="3"/>
      <c r="H82" s="3"/>
      <c r="I82" s="3"/>
      <c r="J82" s="3"/>
      <c r="K82" s="3"/>
      <c r="L82" s="3"/>
    </row>
    <row r="83" spans="2:12">
      <c r="B83" s="3"/>
      <c r="C83" s="3"/>
      <c r="D83" s="3"/>
      <c r="E83" s="3"/>
      <c r="F83" s="3"/>
      <c r="G83" s="3"/>
      <c r="H83" s="3"/>
      <c r="I83" s="3"/>
      <c r="J83" s="3"/>
      <c r="K83" s="3"/>
      <c r="L83" s="3"/>
    </row>
    <row r="84" spans="2:12">
      <c r="B84" s="3"/>
      <c r="C84" s="3"/>
      <c r="D84" s="3"/>
      <c r="E84" s="3"/>
      <c r="F84" s="3"/>
      <c r="G84" s="3"/>
      <c r="H84" s="3"/>
      <c r="I84" s="3"/>
      <c r="J84" s="3"/>
      <c r="K84" s="3"/>
      <c r="L84" s="3"/>
    </row>
    <row r="85" spans="2:12" ht="14.25" customHeight="1">
      <c r="B85" s="3"/>
      <c r="C85" s="3"/>
      <c r="D85" s="3"/>
      <c r="E85" s="3"/>
      <c r="F85" s="3"/>
      <c r="G85" s="3"/>
      <c r="H85" s="3"/>
      <c r="I85" s="3"/>
      <c r="J85" s="3"/>
      <c r="K85" s="3"/>
      <c r="L85" s="3"/>
    </row>
    <row r="86" spans="2:12" ht="12.75" customHeight="1">
      <c r="B86" s="3"/>
      <c r="C86" s="3"/>
      <c r="D86" s="3"/>
      <c r="E86" s="3"/>
      <c r="F86" s="3"/>
      <c r="G86" s="3"/>
      <c r="H86" s="3"/>
      <c r="I86" s="3"/>
      <c r="J86" s="3"/>
      <c r="K86" s="3"/>
      <c r="L86" s="3"/>
    </row>
    <row r="87" spans="2:12" ht="12.75" customHeight="1">
      <c r="B87" s="3"/>
      <c r="C87" s="3"/>
      <c r="D87" s="3"/>
      <c r="E87" s="3"/>
      <c r="F87" s="3"/>
      <c r="G87" s="3"/>
      <c r="H87" s="3"/>
      <c r="I87" s="3"/>
      <c r="J87" s="3"/>
      <c r="K87" s="3"/>
      <c r="L87" s="3"/>
    </row>
    <row r="88" spans="2:12" ht="12.75" customHeight="1">
      <c r="B88" s="3"/>
      <c r="C88" s="3"/>
      <c r="D88" s="3"/>
      <c r="E88" s="3"/>
      <c r="F88" s="3"/>
      <c r="G88" s="3"/>
      <c r="H88" s="3"/>
      <c r="I88" s="3"/>
      <c r="J88" s="3"/>
      <c r="K88" s="3"/>
      <c r="L88" s="3"/>
    </row>
    <row r="89" spans="2:12" ht="12.75" customHeight="1">
      <c r="B89" s="3"/>
      <c r="C89" s="3"/>
      <c r="D89" s="3"/>
      <c r="E89" s="3"/>
      <c r="F89" s="3"/>
      <c r="G89" s="3"/>
      <c r="H89" s="3"/>
      <c r="I89" s="3"/>
      <c r="J89" s="3"/>
      <c r="K89" s="3"/>
      <c r="L89" s="3"/>
    </row>
    <row r="90" spans="2:12" ht="12.75" customHeight="1">
      <c r="B90" s="3"/>
      <c r="C90" s="3"/>
      <c r="D90" s="3"/>
      <c r="E90" s="3"/>
      <c r="F90" s="3"/>
      <c r="G90" s="3"/>
      <c r="H90" s="3"/>
      <c r="I90" s="3"/>
      <c r="J90" s="3"/>
      <c r="K90" s="3"/>
      <c r="L90" s="3"/>
    </row>
    <row r="91" spans="2:12" ht="12.75" customHeight="1">
      <c r="B91" s="3"/>
      <c r="C91" s="3"/>
      <c r="D91" s="3"/>
      <c r="E91" s="3"/>
      <c r="F91" s="3"/>
      <c r="G91" s="3"/>
      <c r="H91" s="3"/>
      <c r="I91" s="3"/>
      <c r="J91" s="3"/>
      <c r="K91" s="3"/>
      <c r="L91" s="3"/>
    </row>
    <row r="92" spans="2:12" ht="12.75" customHeight="1">
      <c r="B92" s="3"/>
      <c r="C92" s="3"/>
      <c r="D92" s="3"/>
      <c r="E92" s="3"/>
      <c r="F92" s="3"/>
      <c r="G92" s="3"/>
      <c r="H92" s="3"/>
      <c r="I92" s="3"/>
      <c r="J92" s="3"/>
      <c r="K92" s="3"/>
      <c r="L92" s="3"/>
    </row>
    <row r="93" spans="2:12" ht="12.75" customHeight="1">
      <c r="B93" s="3"/>
      <c r="C93" s="3"/>
      <c r="D93" s="3"/>
      <c r="E93" s="3"/>
      <c r="F93" s="3"/>
      <c r="G93" s="3"/>
      <c r="H93" s="3"/>
      <c r="I93" s="3"/>
      <c r="J93" s="3"/>
      <c r="K93" s="3"/>
      <c r="L93" s="3"/>
    </row>
    <row r="94" spans="2:12" ht="12.75" customHeight="1">
      <c r="B94" s="3"/>
      <c r="C94" s="3"/>
      <c r="D94" s="3"/>
      <c r="E94" s="3"/>
      <c r="F94" s="3"/>
      <c r="G94" s="3"/>
      <c r="H94" s="3"/>
      <c r="I94" s="3"/>
      <c r="J94" s="3"/>
      <c r="K94" s="3"/>
      <c r="L94" s="3"/>
    </row>
    <row r="95" spans="2:12" ht="12.75" customHeight="1">
      <c r="B95" s="3"/>
      <c r="C95" s="3"/>
      <c r="D95" s="3"/>
      <c r="E95" s="3"/>
      <c r="F95" s="3"/>
      <c r="G95" s="3"/>
      <c r="H95" s="3"/>
      <c r="I95" s="3"/>
      <c r="J95" s="3"/>
      <c r="K95" s="3"/>
      <c r="L95" s="3"/>
    </row>
    <row r="96" spans="2:12" ht="12.75" customHeight="1">
      <c r="B96" s="3"/>
      <c r="C96" s="3"/>
      <c r="D96" s="3"/>
      <c r="E96" s="3"/>
      <c r="F96" s="3"/>
      <c r="G96" s="3"/>
      <c r="H96" s="3"/>
      <c r="I96" s="3"/>
      <c r="J96" s="3"/>
      <c r="K96" s="3"/>
      <c r="L96" s="3"/>
    </row>
    <row r="97" spans="2:12" ht="12.75" customHeight="1">
      <c r="B97" s="3"/>
      <c r="C97" s="3"/>
      <c r="D97" s="3"/>
      <c r="E97" s="3"/>
      <c r="F97" s="3"/>
      <c r="G97" s="3"/>
      <c r="H97" s="3"/>
      <c r="I97" s="3"/>
      <c r="J97" s="3"/>
      <c r="K97" s="3"/>
      <c r="L97" s="3"/>
    </row>
    <row r="98" spans="2:12" ht="12.75" customHeight="1">
      <c r="B98" s="3"/>
      <c r="C98" s="3"/>
      <c r="D98" s="3"/>
      <c r="E98" s="3"/>
      <c r="F98" s="3"/>
      <c r="G98" s="3"/>
      <c r="H98" s="3"/>
      <c r="I98" s="3"/>
      <c r="J98" s="3"/>
      <c r="K98" s="3"/>
      <c r="L98" s="3"/>
    </row>
    <row r="99" spans="2:12" ht="12.75" customHeight="1">
      <c r="B99" s="3"/>
      <c r="C99" s="3"/>
      <c r="D99" s="3"/>
      <c r="E99" s="3"/>
      <c r="F99" s="3"/>
      <c r="G99" s="3"/>
      <c r="H99" s="3"/>
      <c r="I99" s="3"/>
      <c r="J99" s="3"/>
      <c r="K99" s="3"/>
      <c r="L99" s="3"/>
    </row>
    <row r="100" spans="2:12" ht="12.75" customHeight="1">
      <c r="B100" s="3"/>
      <c r="C100" s="3"/>
      <c r="D100" s="3"/>
      <c r="E100" s="3"/>
      <c r="F100" s="3"/>
      <c r="G100" s="3"/>
      <c r="H100" s="3"/>
      <c r="I100" s="3"/>
      <c r="J100" s="3"/>
      <c r="K100" s="3"/>
      <c r="L100" s="3"/>
    </row>
    <row r="101" spans="2:12">
      <c r="B101" s="3"/>
      <c r="C101" s="3"/>
      <c r="D101" s="3"/>
      <c r="E101" s="3"/>
      <c r="F101" s="3"/>
      <c r="G101" s="3"/>
      <c r="H101" s="3"/>
      <c r="I101" s="3"/>
      <c r="J101" s="3"/>
      <c r="K101" s="3"/>
      <c r="L101" s="3"/>
    </row>
    <row r="102" spans="2:12">
      <c r="B102" s="3"/>
      <c r="C102" s="3"/>
      <c r="D102" s="3"/>
      <c r="E102" s="3"/>
      <c r="F102" s="3"/>
      <c r="G102" s="3"/>
      <c r="H102" s="3"/>
      <c r="I102" s="3"/>
      <c r="J102" s="3"/>
      <c r="K102" s="3"/>
      <c r="L102" s="3"/>
    </row>
    <row r="103" spans="2:12">
      <c r="B103" s="3"/>
      <c r="C103" s="3"/>
      <c r="D103" s="3"/>
      <c r="E103" s="3"/>
      <c r="F103" s="3"/>
      <c r="G103" s="3"/>
      <c r="H103" s="3"/>
      <c r="I103" s="3"/>
      <c r="J103" s="3"/>
      <c r="K103" s="3"/>
      <c r="L103" s="3"/>
    </row>
    <row r="104" spans="2:12">
      <c r="B104" s="3"/>
      <c r="C104" s="3"/>
      <c r="D104" s="3"/>
      <c r="E104" s="3"/>
      <c r="F104" s="3"/>
      <c r="G104" s="3"/>
      <c r="H104" s="3"/>
      <c r="I104" s="3"/>
      <c r="J104" s="3"/>
      <c r="K104" s="3"/>
      <c r="L104" s="3"/>
    </row>
    <row r="105" spans="2:12">
      <c r="B105" s="3"/>
      <c r="C105" s="3"/>
      <c r="D105" s="3"/>
      <c r="E105" s="3"/>
      <c r="F105" s="3"/>
      <c r="G105" s="3"/>
      <c r="H105" s="3"/>
      <c r="I105" s="3"/>
      <c r="J105" s="3"/>
      <c r="K105" s="3"/>
      <c r="L105" s="3"/>
    </row>
    <row r="106" spans="2:12">
      <c r="B106" s="3"/>
      <c r="C106" s="3"/>
      <c r="D106" s="3"/>
      <c r="E106" s="3"/>
      <c r="F106" s="3"/>
      <c r="G106" s="3"/>
      <c r="H106" s="3"/>
      <c r="I106" s="3"/>
      <c r="J106" s="3"/>
      <c r="K106" s="3"/>
      <c r="L106" s="3"/>
    </row>
    <row r="107" spans="2:12">
      <c r="B107" s="3"/>
      <c r="C107" s="3"/>
      <c r="D107" s="3"/>
      <c r="E107" s="3"/>
      <c r="F107" s="3"/>
      <c r="G107" s="3"/>
      <c r="H107" s="3"/>
      <c r="I107" s="3"/>
      <c r="J107" s="3"/>
      <c r="K107" s="3"/>
      <c r="L107" s="3"/>
    </row>
    <row r="108" spans="2:12">
      <c r="B108" s="3"/>
      <c r="C108" s="3"/>
      <c r="D108" s="3"/>
      <c r="E108" s="3"/>
      <c r="F108" s="3"/>
      <c r="G108" s="3"/>
      <c r="H108" s="3"/>
      <c r="I108" s="3"/>
      <c r="J108" s="3"/>
      <c r="K108" s="3"/>
      <c r="L108" s="3"/>
    </row>
    <row r="109" spans="2:12">
      <c r="B109" s="3"/>
      <c r="C109" s="3"/>
      <c r="D109" s="3"/>
      <c r="E109" s="3"/>
      <c r="F109" s="3"/>
      <c r="G109" s="3"/>
      <c r="H109" s="3"/>
      <c r="I109" s="3"/>
      <c r="J109" s="3"/>
      <c r="K109" s="3"/>
      <c r="L109" s="3"/>
    </row>
    <row r="110" spans="2:12">
      <c r="B110" s="3"/>
      <c r="C110" s="3"/>
      <c r="D110" s="3"/>
      <c r="E110" s="3"/>
      <c r="F110" s="3"/>
      <c r="G110" s="3"/>
      <c r="H110" s="3"/>
      <c r="I110" s="3"/>
      <c r="J110" s="3"/>
      <c r="K110" s="3"/>
      <c r="L110" s="3"/>
    </row>
    <row r="111" spans="2:12">
      <c r="B111" s="3"/>
      <c r="C111" s="3"/>
      <c r="D111" s="3"/>
      <c r="E111" s="3"/>
      <c r="F111" s="3"/>
      <c r="G111" s="3"/>
      <c r="H111" s="3"/>
      <c r="I111" s="3"/>
      <c r="J111" s="3"/>
      <c r="K111" s="3"/>
      <c r="L111" s="3"/>
    </row>
    <row r="112" spans="2:12">
      <c r="B112" s="3"/>
      <c r="C112" s="3"/>
      <c r="D112" s="3"/>
      <c r="E112" s="3"/>
      <c r="F112" s="3"/>
      <c r="G112" s="3"/>
      <c r="H112" s="3"/>
      <c r="I112" s="3"/>
      <c r="J112" s="3"/>
      <c r="K112" s="3"/>
      <c r="L112" s="3"/>
    </row>
    <row r="113" spans="2:12">
      <c r="B113" s="3"/>
      <c r="C113" s="3"/>
      <c r="D113" s="3"/>
      <c r="E113" s="3"/>
      <c r="F113" s="3"/>
      <c r="G113" s="3"/>
      <c r="H113" s="3"/>
      <c r="I113" s="3"/>
      <c r="J113" s="3"/>
      <c r="K113" s="3"/>
      <c r="L113" s="3"/>
    </row>
    <row r="114" spans="2:12">
      <c r="B114" s="3"/>
      <c r="C114" s="3"/>
      <c r="D114" s="3"/>
      <c r="E114" s="3"/>
      <c r="F114" s="3"/>
      <c r="G114" s="3"/>
      <c r="H114" s="3"/>
      <c r="I114" s="3"/>
      <c r="J114" s="3"/>
      <c r="K114" s="3"/>
      <c r="L114" s="3"/>
    </row>
    <row r="115" spans="2:12">
      <c r="B115" s="3"/>
      <c r="C115" s="3"/>
      <c r="D115" s="3"/>
      <c r="E115" s="3"/>
      <c r="F115" s="3"/>
      <c r="G115" s="3"/>
      <c r="H115" s="3"/>
      <c r="I115" s="3"/>
      <c r="J115" s="3"/>
      <c r="K115" s="3"/>
      <c r="L115" s="3"/>
    </row>
    <row r="116" spans="2:12">
      <c r="B116" s="3"/>
      <c r="C116" s="3"/>
      <c r="D116" s="3"/>
      <c r="E116" s="3"/>
      <c r="F116" s="3"/>
      <c r="G116" s="3"/>
      <c r="H116" s="3"/>
      <c r="I116" s="3"/>
      <c r="J116" s="3"/>
      <c r="K116" s="3"/>
      <c r="L116" s="3"/>
    </row>
    <row r="117" spans="2:12">
      <c r="B117" s="3"/>
      <c r="C117" s="3"/>
      <c r="D117" s="3"/>
      <c r="E117" s="3"/>
      <c r="F117" s="3"/>
      <c r="G117" s="3"/>
      <c r="H117" s="3"/>
      <c r="I117" s="3"/>
      <c r="J117" s="3"/>
      <c r="K117" s="3"/>
      <c r="L117" s="3"/>
    </row>
    <row r="118" spans="2:12">
      <c r="B118" s="3"/>
      <c r="C118" s="3"/>
      <c r="D118" s="3"/>
      <c r="E118" s="3"/>
      <c r="F118" s="3"/>
      <c r="G118" s="3"/>
      <c r="H118" s="3"/>
      <c r="I118" s="3"/>
      <c r="J118" s="3"/>
      <c r="K118" s="3"/>
      <c r="L118" s="3"/>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57"/>
  <sheetViews>
    <sheetView view="pageBreakPreview" zoomScale="60" zoomScaleNormal="100" workbookViewId="0">
      <selection activeCell="A10" sqref="A10"/>
    </sheetView>
  </sheetViews>
  <sheetFormatPr defaultRowHeight="12.75"/>
  <cols>
    <col min="1" max="1" width="35.85546875" customWidth="1"/>
    <col min="4" max="4" width="28.85546875" customWidth="1"/>
    <col min="6" max="6" width="20.5703125" customWidth="1"/>
    <col min="8" max="8" width="26.140625" customWidth="1"/>
    <col min="9" max="9" width="19" customWidth="1"/>
    <col min="11" max="11" width="18.85546875" customWidth="1"/>
  </cols>
  <sheetData>
    <row r="1" spans="1:11" ht="15.75">
      <c r="A1" s="1342" t="s">
        <v>387</v>
      </c>
      <c r="B1" s="1342"/>
      <c r="C1" s="1342"/>
      <c r="D1" s="1342"/>
      <c r="E1" s="1342"/>
      <c r="F1" s="1342"/>
      <c r="G1" s="1342"/>
      <c r="H1" s="1342"/>
      <c r="I1" s="1342"/>
      <c r="J1" s="1342"/>
      <c r="K1" s="1342"/>
    </row>
    <row r="2" spans="1:11" ht="15.75">
      <c r="A2" s="1343" t="s">
        <v>567</v>
      </c>
      <c r="B2" s="1343"/>
      <c r="C2" s="1343"/>
      <c r="D2" s="1343"/>
      <c r="E2" s="1343"/>
      <c r="F2" s="1343"/>
      <c r="G2" s="1343"/>
      <c r="H2" s="1343"/>
      <c r="I2" s="1343"/>
      <c r="J2" s="1343"/>
      <c r="K2" s="1343"/>
    </row>
    <row r="3" spans="1:11" ht="15.75">
      <c r="A3" s="1343" t="s">
        <v>568</v>
      </c>
      <c r="B3" s="1343"/>
      <c r="C3" s="1343"/>
      <c r="D3" s="1343"/>
      <c r="E3" s="1343"/>
      <c r="F3" s="1343"/>
      <c r="G3" s="1343"/>
      <c r="H3" s="1343"/>
      <c r="I3" s="1343"/>
      <c r="J3" s="1343"/>
      <c r="K3" s="1343"/>
    </row>
    <row r="4" spans="1:11" ht="15.75">
      <c r="A4" s="11"/>
      <c r="B4" s="11"/>
      <c r="C4" s="11"/>
      <c r="D4" s="1343"/>
      <c r="E4" s="1343"/>
      <c r="F4" s="1343"/>
      <c r="G4" s="1343"/>
      <c r="H4" s="11"/>
      <c r="I4" s="11"/>
      <c r="J4" s="11"/>
      <c r="K4" s="11"/>
    </row>
    <row r="7" spans="1:11" ht="16.5" thickBot="1">
      <c r="A7" s="560"/>
      <c r="B7" s="561"/>
      <c r="C7" s="561"/>
      <c r="D7" s="561"/>
      <c r="E7" s="561"/>
      <c r="F7" s="561"/>
      <c r="G7" s="561"/>
      <c r="H7" s="561"/>
      <c r="I7" s="561"/>
      <c r="J7" s="561"/>
      <c r="K7" s="561"/>
    </row>
    <row r="8" spans="1:11" ht="31.5">
      <c r="A8" s="562" t="str">
        <f>"Reconciliation Revenue Requirement For Year 2024 Available May 25, 2025"</f>
        <v>Reconciliation Revenue Requirement For Year 2024 Available May 25, 2025</v>
      </c>
      <c r="B8" s="561"/>
      <c r="C8" s="561"/>
      <c r="D8" s="562" t="s">
        <v>1133</v>
      </c>
      <c r="E8" s="561"/>
      <c r="F8" s="561"/>
      <c r="G8" s="11"/>
      <c r="H8" s="562" t="s">
        <v>548</v>
      </c>
      <c r="I8" s="11"/>
      <c r="J8" s="11"/>
      <c r="K8" s="11"/>
    </row>
    <row r="9" spans="1:11" ht="15.75">
      <c r="A9" s="563" t="s">
        <v>114</v>
      </c>
      <c r="B9" s="561"/>
      <c r="C9" s="561"/>
      <c r="D9" s="563"/>
      <c r="E9" s="561"/>
      <c r="F9" s="561"/>
      <c r="G9" s="11"/>
      <c r="H9" s="564"/>
      <c r="I9" s="11"/>
      <c r="J9" s="11"/>
      <c r="K9" s="11"/>
    </row>
    <row r="10" spans="1:11" ht="16.5" thickBot="1">
      <c r="A10" s="639">
        <v>12220429.899428839</v>
      </c>
      <c r="B10" s="565" t="str">
        <f>"-"</f>
        <v>-</v>
      </c>
      <c r="C10" s="566"/>
      <c r="D10" s="639">
        <v>13516670.08741465</v>
      </c>
      <c r="E10" s="567"/>
      <c r="F10" s="568" t="str">
        <f>"="</f>
        <v>=</v>
      </c>
      <c r="G10" s="569"/>
      <c r="H10" s="570">
        <f>IF(A10=0,0,D10-A10)</f>
        <v>1296240.1879858114</v>
      </c>
      <c r="I10" s="11"/>
      <c r="J10" s="11"/>
      <c r="K10" s="11"/>
    </row>
    <row r="11" spans="1:11" ht="15.75">
      <c r="A11" s="571"/>
      <c r="B11" s="572"/>
      <c r="C11" s="572"/>
      <c r="D11" s="571"/>
      <c r="E11" s="571"/>
      <c r="F11" s="572"/>
      <c r="G11" s="571"/>
      <c r="H11" s="11"/>
      <c r="I11" s="11"/>
      <c r="J11" s="11"/>
      <c r="K11" s="11"/>
    </row>
    <row r="12" spans="1:11" ht="16.5" thickBot="1">
      <c r="A12" s="573"/>
      <c r="B12" s="574"/>
      <c r="C12" s="574"/>
      <c r="D12" s="573"/>
      <c r="E12" s="573"/>
      <c r="F12" s="574"/>
      <c r="G12" s="573"/>
      <c r="H12" s="575"/>
      <c r="I12" s="575"/>
      <c r="J12" s="575"/>
      <c r="K12" s="575"/>
    </row>
    <row r="13" spans="1:11" ht="15.75">
      <c r="A13" s="576"/>
      <c r="B13" s="572"/>
      <c r="C13" s="572"/>
      <c r="D13" s="571"/>
      <c r="E13" s="571"/>
      <c r="F13" s="572"/>
      <c r="G13" s="571"/>
      <c r="H13" s="11"/>
      <c r="I13" s="11"/>
      <c r="J13" s="11"/>
      <c r="K13" s="11"/>
    </row>
    <row r="14" spans="1:11" ht="31.5">
      <c r="A14" s="577" t="s">
        <v>549</v>
      </c>
      <c r="B14" s="572"/>
      <c r="C14" s="572"/>
      <c r="D14" s="578" t="s">
        <v>550</v>
      </c>
      <c r="E14" s="571"/>
      <c r="F14" s="578" t="s">
        <v>551</v>
      </c>
      <c r="G14" s="579" t="s">
        <v>552</v>
      </c>
      <c r="H14" s="580" t="s">
        <v>553</v>
      </c>
      <c r="I14" s="578" t="s">
        <v>554</v>
      </c>
      <c r="J14" s="581"/>
      <c r="K14" s="578" t="s">
        <v>555</v>
      </c>
    </row>
    <row r="15" spans="1:11" ht="15.75">
      <c r="A15" s="577" t="s">
        <v>556</v>
      </c>
      <c r="B15" s="572"/>
      <c r="C15" s="572"/>
      <c r="D15" s="11"/>
      <c r="E15" s="582"/>
      <c r="F15" s="640">
        <v>6.8300000000000001E-3</v>
      </c>
      <c r="H15" s="11"/>
      <c r="I15" s="11"/>
      <c r="J15" s="11"/>
      <c r="K15" s="11"/>
    </row>
    <row r="16" spans="1:11" ht="15.75">
      <c r="A16" s="577"/>
      <c r="B16" s="572"/>
      <c r="C16" s="572"/>
      <c r="D16" s="11"/>
      <c r="E16" s="582"/>
      <c r="F16" s="582"/>
      <c r="G16" s="571"/>
      <c r="H16" s="11"/>
      <c r="I16" s="11"/>
      <c r="J16" s="11"/>
      <c r="K16" s="11"/>
    </row>
    <row r="17" spans="1:11" ht="15.75">
      <c r="A17" s="577" t="s">
        <v>1134</v>
      </c>
      <c r="B17" s="572"/>
      <c r="C17" s="572"/>
      <c r="D17" s="11"/>
      <c r="E17" s="582"/>
      <c r="F17" s="582"/>
      <c r="G17" s="571"/>
      <c r="H17" s="11"/>
      <c r="I17" s="11"/>
      <c r="J17" s="11"/>
      <c r="K17" s="11"/>
    </row>
    <row r="18" spans="1:11" ht="15.75">
      <c r="A18" s="583" t="s">
        <v>114</v>
      </c>
      <c r="B18" s="572"/>
      <c r="C18" s="572"/>
      <c r="D18" s="572"/>
      <c r="E18" s="572"/>
      <c r="F18" s="572" t="s">
        <v>114</v>
      </c>
      <c r="G18" s="11"/>
      <c r="H18" s="11"/>
      <c r="I18" s="11"/>
      <c r="J18" s="11"/>
      <c r="K18" s="11"/>
    </row>
    <row r="19" spans="1:11" ht="15.75">
      <c r="A19" s="584"/>
      <c r="B19" s="572"/>
      <c r="C19" s="572"/>
      <c r="D19" s="572"/>
      <c r="E19" s="572"/>
      <c r="F19" s="11"/>
      <c r="G19" s="11"/>
      <c r="H19" s="579"/>
      <c r="I19" s="572"/>
      <c r="J19" s="572"/>
      <c r="K19" s="572"/>
    </row>
    <row r="20" spans="1:11" ht="15.75">
      <c r="A20" s="584" t="s">
        <v>557</v>
      </c>
      <c r="B20" s="572"/>
      <c r="C20" s="572"/>
      <c r="D20" s="572"/>
      <c r="E20" s="572"/>
      <c r="F20" s="11"/>
      <c r="G20" s="11"/>
      <c r="H20" s="579" t="s">
        <v>558</v>
      </c>
      <c r="I20" s="572"/>
      <c r="J20" s="572"/>
      <c r="K20" s="572"/>
    </row>
    <row r="21" spans="1:11" ht="15.75">
      <c r="A21" s="561" t="s">
        <v>185</v>
      </c>
      <c r="B21" s="561" t="str">
        <f>"Year "&amp;TCOS!L4-2</f>
        <v>Year 2024</v>
      </c>
      <c r="C21" s="561"/>
      <c r="D21" s="585">
        <f>H10/12</f>
        <v>108020.01566548429</v>
      </c>
      <c r="E21" s="585"/>
      <c r="F21" s="586">
        <f>F15</f>
        <v>6.8300000000000001E-3</v>
      </c>
      <c r="G21" s="572">
        <v>12</v>
      </c>
      <c r="H21" s="585">
        <f>F21*D21*G21*-1</f>
        <v>-8853.3204839430909</v>
      </c>
      <c r="I21" s="585"/>
      <c r="J21" s="585"/>
      <c r="K21" s="585">
        <f>(-H21+D21)*-1</f>
        <v>-116873.33614942737</v>
      </c>
    </row>
    <row r="22" spans="1:11" ht="15.75">
      <c r="A22" s="561" t="s">
        <v>559</v>
      </c>
      <c r="B22" s="561" t="str">
        <f>B21</f>
        <v>Year 2024</v>
      </c>
      <c r="C22" s="561"/>
      <c r="D22" s="585">
        <f>+D21</f>
        <v>108020.01566548429</v>
      </c>
      <c r="E22" s="585"/>
      <c r="F22" s="586">
        <f>+F21</f>
        <v>6.8300000000000001E-3</v>
      </c>
      <c r="G22" s="572">
        <f t="shared" ref="G22:G32" si="0">+G21-1</f>
        <v>11</v>
      </c>
      <c r="H22" s="585">
        <f t="shared" ref="H22:H32" si="1">F22*D22*G22*-1</f>
        <v>-8115.543776947834</v>
      </c>
      <c r="I22" s="585"/>
      <c r="J22" s="585"/>
      <c r="K22" s="585">
        <f t="shared" ref="K22:K32" si="2">(-H22+D22)*-1</f>
        <v>-116135.55944243212</v>
      </c>
    </row>
    <row r="23" spans="1:11" ht="15.75">
      <c r="A23" s="561" t="s">
        <v>186</v>
      </c>
      <c r="B23" s="561" t="str">
        <f t="shared" ref="B23:B32" si="3">B22</f>
        <v>Year 2024</v>
      </c>
      <c r="C23" s="561"/>
      <c r="D23" s="585">
        <f t="shared" ref="D23:D32" si="4">+D22</f>
        <v>108020.01566548429</v>
      </c>
      <c r="E23" s="585"/>
      <c r="F23" s="586">
        <f t="shared" ref="F23:F32" si="5">+F22</f>
        <v>6.8300000000000001E-3</v>
      </c>
      <c r="G23" s="572">
        <f t="shared" si="0"/>
        <v>10</v>
      </c>
      <c r="H23" s="585">
        <f t="shared" si="1"/>
        <v>-7377.767069952577</v>
      </c>
      <c r="I23" s="585"/>
      <c r="J23" s="585"/>
      <c r="K23" s="585">
        <f t="shared" si="2"/>
        <v>-115397.78273543686</v>
      </c>
    </row>
    <row r="24" spans="1:11" ht="15.75">
      <c r="A24" s="561" t="s">
        <v>187</v>
      </c>
      <c r="B24" s="561" t="str">
        <f t="shared" si="3"/>
        <v>Year 2024</v>
      </c>
      <c r="C24" s="561"/>
      <c r="D24" s="585">
        <f t="shared" si="4"/>
        <v>108020.01566548429</v>
      </c>
      <c r="E24" s="585"/>
      <c r="F24" s="586">
        <f t="shared" si="5"/>
        <v>6.8300000000000001E-3</v>
      </c>
      <c r="G24" s="572">
        <f t="shared" si="0"/>
        <v>9</v>
      </c>
      <c r="H24" s="585">
        <f t="shared" si="1"/>
        <v>-6639.9903629573191</v>
      </c>
      <c r="I24" s="585"/>
      <c r="J24" s="585"/>
      <c r="K24" s="585">
        <f t="shared" si="2"/>
        <v>-114660.00602844161</v>
      </c>
    </row>
    <row r="25" spans="1:11" ht="15.75">
      <c r="A25" s="561" t="s">
        <v>188</v>
      </c>
      <c r="B25" s="561" t="str">
        <f t="shared" si="3"/>
        <v>Year 2024</v>
      </c>
      <c r="C25" s="561"/>
      <c r="D25" s="585">
        <f t="shared" si="4"/>
        <v>108020.01566548429</v>
      </c>
      <c r="E25" s="585"/>
      <c r="F25" s="586">
        <f t="shared" si="5"/>
        <v>6.8300000000000001E-3</v>
      </c>
      <c r="G25" s="572">
        <f t="shared" si="0"/>
        <v>8</v>
      </c>
      <c r="H25" s="585">
        <f t="shared" si="1"/>
        <v>-5902.2136559620612</v>
      </c>
      <c r="I25" s="585"/>
      <c r="J25" s="585"/>
      <c r="K25" s="585">
        <f t="shared" si="2"/>
        <v>-113922.22932144634</v>
      </c>
    </row>
    <row r="26" spans="1:11" ht="15.75">
      <c r="A26" s="561" t="s">
        <v>382</v>
      </c>
      <c r="B26" s="561" t="str">
        <f t="shared" si="3"/>
        <v>Year 2024</v>
      </c>
      <c r="C26" s="561"/>
      <c r="D26" s="585">
        <f t="shared" si="4"/>
        <v>108020.01566548429</v>
      </c>
      <c r="E26" s="585"/>
      <c r="F26" s="586">
        <f t="shared" si="5"/>
        <v>6.8300000000000001E-3</v>
      </c>
      <c r="G26" s="572">
        <f t="shared" si="0"/>
        <v>7</v>
      </c>
      <c r="H26" s="585">
        <f t="shared" si="1"/>
        <v>-5164.4369489668034</v>
      </c>
      <c r="I26" s="585"/>
      <c r="J26" s="585"/>
      <c r="K26" s="585">
        <f t="shared" si="2"/>
        <v>-113184.45261445109</v>
      </c>
    </row>
    <row r="27" spans="1:11" ht="15.75">
      <c r="A27" s="561" t="s">
        <v>189</v>
      </c>
      <c r="B27" s="561" t="str">
        <f t="shared" si="3"/>
        <v>Year 2024</v>
      </c>
      <c r="C27" s="561"/>
      <c r="D27" s="585">
        <f t="shared" si="4"/>
        <v>108020.01566548429</v>
      </c>
      <c r="E27" s="585"/>
      <c r="F27" s="586">
        <f t="shared" si="5"/>
        <v>6.8300000000000001E-3</v>
      </c>
      <c r="G27" s="572">
        <f t="shared" si="0"/>
        <v>6</v>
      </c>
      <c r="H27" s="585">
        <f t="shared" si="1"/>
        <v>-4426.6602419715455</v>
      </c>
      <c r="I27" s="585"/>
      <c r="J27" s="585"/>
      <c r="K27" s="585">
        <f t="shared" si="2"/>
        <v>-112446.67590745584</v>
      </c>
    </row>
    <row r="28" spans="1:11" ht="15.75">
      <c r="A28" s="561" t="s">
        <v>190</v>
      </c>
      <c r="B28" s="561" t="str">
        <f t="shared" si="3"/>
        <v>Year 2024</v>
      </c>
      <c r="C28" s="561"/>
      <c r="D28" s="585">
        <f t="shared" si="4"/>
        <v>108020.01566548429</v>
      </c>
      <c r="E28" s="585"/>
      <c r="F28" s="586">
        <f t="shared" si="5"/>
        <v>6.8300000000000001E-3</v>
      </c>
      <c r="G28" s="572">
        <f t="shared" si="0"/>
        <v>5</v>
      </c>
      <c r="H28" s="585">
        <f t="shared" si="1"/>
        <v>-3688.8835349762885</v>
      </c>
      <c r="I28" s="585"/>
      <c r="J28" s="585"/>
      <c r="K28" s="585">
        <f t="shared" si="2"/>
        <v>-111708.89920046058</v>
      </c>
    </row>
    <row r="29" spans="1:11" ht="15.75">
      <c r="A29" s="561" t="s">
        <v>192</v>
      </c>
      <c r="B29" s="561" t="str">
        <f t="shared" si="3"/>
        <v>Year 2024</v>
      </c>
      <c r="C29" s="561"/>
      <c r="D29" s="585">
        <f t="shared" si="4"/>
        <v>108020.01566548429</v>
      </c>
      <c r="E29" s="585"/>
      <c r="F29" s="586">
        <f t="shared" si="5"/>
        <v>6.8300000000000001E-3</v>
      </c>
      <c r="G29" s="572">
        <f t="shared" si="0"/>
        <v>4</v>
      </c>
      <c r="H29" s="585">
        <f t="shared" si="1"/>
        <v>-2951.1068279810306</v>
      </c>
      <c r="I29" s="585"/>
      <c r="J29" s="585"/>
      <c r="K29" s="585">
        <f t="shared" si="2"/>
        <v>-110971.12249346531</v>
      </c>
    </row>
    <row r="30" spans="1:11" ht="15.75">
      <c r="A30" s="561" t="s">
        <v>560</v>
      </c>
      <c r="B30" s="561" t="str">
        <f t="shared" si="3"/>
        <v>Year 2024</v>
      </c>
      <c r="C30" s="561"/>
      <c r="D30" s="585">
        <f t="shared" si="4"/>
        <v>108020.01566548429</v>
      </c>
      <c r="E30" s="585"/>
      <c r="F30" s="586">
        <f t="shared" si="5"/>
        <v>6.8300000000000001E-3</v>
      </c>
      <c r="G30" s="572">
        <f t="shared" si="0"/>
        <v>3</v>
      </c>
      <c r="H30" s="585">
        <f t="shared" si="1"/>
        <v>-2213.3301209857727</v>
      </c>
      <c r="I30" s="585"/>
      <c r="J30" s="585"/>
      <c r="K30" s="585">
        <f t="shared" si="2"/>
        <v>-110233.34578647006</v>
      </c>
    </row>
    <row r="31" spans="1:11" ht="15.75">
      <c r="A31" s="561" t="s">
        <v>561</v>
      </c>
      <c r="B31" s="561" t="str">
        <f t="shared" si="3"/>
        <v>Year 2024</v>
      </c>
      <c r="C31" s="561"/>
      <c r="D31" s="585">
        <f t="shared" si="4"/>
        <v>108020.01566548429</v>
      </c>
      <c r="E31" s="585"/>
      <c r="F31" s="586">
        <f t="shared" si="5"/>
        <v>6.8300000000000001E-3</v>
      </c>
      <c r="G31" s="572">
        <f t="shared" si="0"/>
        <v>2</v>
      </c>
      <c r="H31" s="585">
        <f t="shared" si="1"/>
        <v>-1475.5534139905153</v>
      </c>
      <c r="I31" s="585"/>
      <c r="J31" s="585"/>
      <c r="K31" s="585">
        <f t="shared" si="2"/>
        <v>-109495.56907947481</v>
      </c>
    </row>
    <row r="32" spans="1:11" ht="15.75">
      <c r="A32" s="561" t="s">
        <v>191</v>
      </c>
      <c r="B32" s="561" t="str">
        <f t="shared" si="3"/>
        <v>Year 2024</v>
      </c>
      <c r="C32" s="561"/>
      <c r="D32" s="585">
        <f t="shared" si="4"/>
        <v>108020.01566548429</v>
      </c>
      <c r="E32" s="585"/>
      <c r="F32" s="586">
        <f t="shared" si="5"/>
        <v>6.8300000000000001E-3</v>
      </c>
      <c r="G32" s="572">
        <f t="shared" si="0"/>
        <v>1</v>
      </c>
      <c r="H32" s="587">
        <f t="shared" si="1"/>
        <v>-737.77670699525765</v>
      </c>
      <c r="I32" s="585"/>
      <c r="J32" s="585"/>
      <c r="K32" s="585">
        <f t="shared" si="2"/>
        <v>-108757.79237247954</v>
      </c>
    </row>
    <row r="33" spans="1:11" ht="15.75">
      <c r="A33" s="561"/>
      <c r="B33" s="561"/>
      <c r="C33" s="561"/>
      <c r="D33" s="585"/>
      <c r="E33" s="585"/>
      <c r="F33" s="586"/>
      <c r="G33" s="572"/>
      <c r="H33" s="585">
        <f>SUM(H21:H32)</f>
        <v>-57546.583145630102</v>
      </c>
      <c r="I33" s="585"/>
      <c r="J33" s="585"/>
      <c r="K33" s="588">
        <f>SUM(K21:K32)</f>
        <v>-1353786.7711314415</v>
      </c>
    </row>
    <row r="34" spans="1:11" ht="15.75">
      <c r="A34" s="561"/>
      <c r="B34" s="561"/>
      <c r="C34" s="561"/>
      <c r="D34" s="585"/>
      <c r="E34" s="585"/>
      <c r="F34" s="586"/>
      <c r="G34" s="572"/>
      <c r="H34" s="585"/>
      <c r="I34" s="585" t="s">
        <v>114</v>
      </c>
      <c r="J34" s="585"/>
      <c r="K34" s="11"/>
    </row>
    <row r="35" spans="1:11" ht="15.75">
      <c r="A35" s="561"/>
      <c r="B35" s="561"/>
      <c r="C35" s="561"/>
      <c r="D35" s="571"/>
      <c r="E35" s="571"/>
      <c r="F35" s="586"/>
      <c r="G35" s="572"/>
      <c r="H35" s="589" t="s">
        <v>562</v>
      </c>
      <c r="I35" s="585"/>
      <c r="J35" s="585"/>
      <c r="K35" s="585"/>
    </row>
    <row r="36" spans="1:11" ht="15.75">
      <c r="A36" s="561" t="s">
        <v>563</v>
      </c>
      <c r="B36" s="561" t="str">
        <f>"Year "&amp;TCOS!L4-1</f>
        <v>Year 2025</v>
      </c>
      <c r="C36" s="561"/>
      <c r="D36" s="571">
        <f>K33</f>
        <v>-1353786.7711314415</v>
      </c>
      <c r="E36" s="571"/>
      <c r="F36" s="586">
        <f>F32</f>
        <v>6.8300000000000001E-3</v>
      </c>
      <c r="G36" s="572">
        <v>12</v>
      </c>
      <c r="H36" s="585">
        <f>+G36*F36*D36</f>
        <v>-110956.36376193295</v>
      </c>
      <c r="I36" s="585"/>
      <c r="J36" s="585"/>
      <c r="K36" s="588">
        <f>+D36+H36</f>
        <v>-1464743.1348933745</v>
      </c>
    </row>
    <row r="37" spans="1:11" ht="15.75">
      <c r="A37" s="561"/>
      <c r="B37" s="561"/>
      <c r="C37" s="561"/>
      <c r="D37" s="571"/>
      <c r="E37" s="571"/>
      <c r="F37" s="586"/>
      <c r="G37" s="561"/>
      <c r="H37" s="585"/>
      <c r="I37" s="585"/>
      <c r="J37" s="585"/>
      <c r="K37" s="585"/>
    </row>
    <row r="38" spans="1:11" ht="15.75">
      <c r="A38" s="590" t="s">
        <v>564</v>
      </c>
      <c r="B38" s="561"/>
      <c r="C38" s="561"/>
      <c r="D38" s="585"/>
      <c r="E38" s="585"/>
      <c r="F38" s="586"/>
      <c r="G38" s="561"/>
      <c r="H38" s="589" t="s">
        <v>558</v>
      </c>
      <c r="I38" s="585"/>
      <c r="J38" s="585"/>
      <c r="K38" s="585"/>
    </row>
    <row r="39" spans="1:11" ht="15.75">
      <c r="A39" s="561" t="s">
        <v>185</v>
      </c>
      <c r="B39" s="561" t="str">
        <f>"Year "&amp;TCOS!L4</f>
        <v>Year 2026</v>
      </c>
      <c r="C39" s="561"/>
      <c r="D39" s="591">
        <f>-K36</f>
        <v>1464743.1348933745</v>
      </c>
      <c r="E39" s="571"/>
      <c r="F39" s="586">
        <f>F15</f>
        <v>6.8300000000000001E-3</v>
      </c>
      <c r="G39" s="561"/>
      <c r="H39" s="585">
        <f xml:space="preserve"> -F39*D39</f>
        <v>-10004.195611321747</v>
      </c>
      <c r="I39" s="585">
        <f>PMT(F39,12,K$36)</f>
        <v>127548.48310594632</v>
      </c>
      <c r="J39" s="585"/>
      <c r="K39" s="585">
        <f>(+D39+D39*F39-I39)*-1</f>
        <v>-1347198.84739875</v>
      </c>
    </row>
    <row r="40" spans="1:11" ht="15.75">
      <c r="A40" s="561" t="s">
        <v>559</v>
      </c>
      <c r="B40" s="561" t="str">
        <f>+B39</f>
        <v>Year 2026</v>
      </c>
      <c r="C40" s="561"/>
      <c r="D40" s="571">
        <f>-K39</f>
        <v>1347198.84739875</v>
      </c>
      <c r="E40" s="571"/>
      <c r="F40" s="586">
        <f>+F39</f>
        <v>6.8300000000000001E-3</v>
      </c>
      <c r="G40" s="561"/>
      <c r="H40" s="585">
        <f xml:space="preserve"> -F40*D40</f>
        <v>-9201.3681277334636</v>
      </c>
      <c r="I40" s="585">
        <f>I39</f>
        <v>127548.48310594632</v>
      </c>
      <c r="J40" s="585"/>
      <c r="K40" s="585">
        <f t="shared" ref="K40:K50" si="6">(+D40+D40*F40-I40)*-1</f>
        <v>-1228851.7324205372</v>
      </c>
    </row>
    <row r="41" spans="1:11" ht="15.75">
      <c r="A41" s="561" t="s">
        <v>186</v>
      </c>
      <c r="B41" s="561" t="str">
        <f>+B40</f>
        <v>Year 2026</v>
      </c>
      <c r="C41" s="561"/>
      <c r="D41" s="571">
        <f t="shared" ref="D41:D50" si="7">-K40</f>
        <v>1228851.7324205372</v>
      </c>
      <c r="E41" s="571"/>
      <c r="F41" s="586">
        <f t="shared" ref="F41:F50" si="8">+F40</f>
        <v>6.8300000000000001E-3</v>
      </c>
      <c r="G41" s="561"/>
      <c r="H41" s="585">
        <f t="shared" ref="H41:H50" si="9" xml:space="preserve"> -F41*D41</f>
        <v>-8393.0573324322686</v>
      </c>
      <c r="I41" s="585">
        <f t="shared" ref="I41:I50" si="10">I40</f>
        <v>127548.48310594632</v>
      </c>
      <c r="J41" s="585"/>
      <c r="K41" s="585">
        <f t="shared" si="6"/>
        <v>-1109696.3066470232</v>
      </c>
    </row>
    <row r="42" spans="1:11" ht="15.75">
      <c r="A42" s="561" t="s">
        <v>187</v>
      </c>
      <c r="B42" s="561" t="str">
        <f>+B41</f>
        <v>Year 2026</v>
      </c>
      <c r="C42" s="561"/>
      <c r="D42" s="571">
        <f t="shared" si="7"/>
        <v>1109696.3066470232</v>
      </c>
      <c r="E42" s="571"/>
      <c r="F42" s="586">
        <f t="shared" si="8"/>
        <v>6.8300000000000001E-3</v>
      </c>
      <c r="G42" s="561"/>
      <c r="H42" s="585">
        <f t="shared" si="9"/>
        <v>-7579.2257743991686</v>
      </c>
      <c r="I42" s="585">
        <f t="shared" si="10"/>
        <v>127548.48310594632</v>
      </c>
      <c r="J42" s="585"/>
      <c r="K42" s="585">
        <f t="shared" si="6"/>
        <v>-989727.04931547609</v>
      </c>
    </row>
    <row r="43" spans="1:11" ht="15.75">
      <c r="A43" s="561" t="s">
        <v>188</v>
      </c>
      <c r="B43" s="561" t="str">
        <f>+B42</f>
        <v>Year 2026</v>
      </c>
      <c r="C43" s="561"/>
      <c r="D43" s="571">
        <f t="shared" si="7"/>
        <v>989727.04931547609</v>
      </c>
      <c r="E43" s="571"/>
      <c r="F43" s="586">
        <f t="shared" si="8"/>
        <v>6.8300000000000001E-3</v>
      </c>
      <c r="G43" s="561"/>
      <c r="H43" s="585">
        <f t="shared" si="9"/>
        <v>-6759.8357468247023</v>
      </c>
      <c r="I43" s="585">
        <f>I42</f>
        <v>127548.48310594632</v>
      </c>
      <c r="J43" s="585"/>
      <c r="K43" s="585">
        <f t="shared" si="6"/>
        <v>-868938.4019563545</v>
      </c>
    </row>
    <row r="44" spans="1:11" ht="15.75">
      <c r="A44" s="561" t="s">
        <v>382</v>
      </c>
      <c r="B44" s="561" t="str">
        <f>B43</f>
        <v>Year 2026</v>
      </c>
      <c r="C44" s="11"/>
      <c r="D44" s="571">
        <f t="shared" si="7"/>
        <v>868938.4019563545</v>
      </c>
      <c r="E44" s="571"/>
      <c r="F44" s="586">
        <f t="shared" si="8"/>
        <v>6.8300000000000001E-3</v>
      </c>
      <c r="G44" s="561"/>
      <c r="H44" s="585">
        <f t="shared" si="9"/>
        <v>-5934.8492853619009</v>
      </c>
      <c r="I44" s="585">
        <f t="shared" si="10"/>
        <v>127548.48310594632</v>
      </c>
      <c r="J44" s="585"/>
      <c r="K44" s="585">
        <f t="shared" si="6"/>
        <v>-747324.76813577011</v>
      </c>
    </row>
    <row r="45" spans="1:11" ht="15.75">
      <c r="A45" s="561" t="s">
        <v>189</v>
      </c>
      <c r="B45" s="561" t="str">
        <f t="shared" ref="B45:B50" si="11">+B44</f>
        <v>Year 2026</v>
      </c>
      <c r="C45" s="561"/>
      <c r="D45" s="571">
        <f t="shared" si="7"/>
        <v>747324.76813577011</v>
      </c>
      <c r="E45" s="571"/>
      <c r="F45" s="586">
        <f t="shared" si="8"/>
        <v>6.8300000000000001E-3</v>
      </c>
      <c r="G45" s="561"/>
      <c r="H45" s="585">
        <f t="shared" si="9"/>
        <v>-5104.2281663673102</v>
      </c>
      <c r="I45" s="585">
        <f t="shared" si="10"/>
        <v>127548.48310594632</v>
      </c>
      <c r="J45" s="585"/>
      <c r="K45" s="585">
        <f t="shared" si="6"/>
        <v>-624880.51319619105</v>
      </c>
    </row>
    <row r="46" spans="1:11" ht="15.75">
      <c r="A46" s="561" t="s">
        <v>190</v>
      </c>
      <c r="B46" s="561" t="str">
        <f t="shared" si="11"/>
        <v>Year 2026</v>
      </c>
      <c r="C46" s="561"/>
      <c r="D46" s="571">
        <f t="shared" si="7"/>
        <v>624880.51319619105</v>
      </c>
      <c r="E46" s="571"/>
      <c r="F46" s="586">
        <f t="shared" si="8"/>
        <v>6.8300000000000001E-3</v>
      </c>
      <c r="G46" s="561"/>
      <c r="H46" s="585">
        <f t="shared" si="9"/>
        <v>-4267.9339051299849</v>
      </c>
      <c r="I46" s="585">
        <f t="shared" si="10"/>
        <v>127548.48310594632</v>
      </c>
      <c r="J46" s="585"/>
      <c r="K46" s="585">
        <f t="shared" si="6"/>
        <v>-501599.96399537474</v>
      </c>
    </row>
    <row r="47" spans="1:11" ht="15.75">
      <c r="A47" s="561" t="s">
        <v>192</v>
      </c>
      <c r="B47" s="561" t="str">
        <f t="shared" si="11"/>
        <v>Year 2026</v>
      </c>
      <c r="C47" s="561"/>
      <c r="D47" s="571">
        <f t="shared" si="7"/>
        <v>501599.96399537474</v>
      </c>
      <c r="E47" s="571"/>
      <c r="F47" s="586">
        <f t="shared" si="8"/>
        <v>6.8300000000000001E-3</v>
      </c>
      <c r="G47" s="561"/>
      <c r="H47" s="585">
        <f t="shared" si="9"/>
        <v>-3425.9277540884095</v>
      </c>
      <c r="I47" s="585">
        <f>I46</f>
        <v>127548.48310594632</v>
      </c>
      <c r="J47" s="585"/>
      <c r="K47" s="585">
        <f t="shared" si="6"/>
        <v>-377477.40864351683</v>
      </c>
    </row>
    <row r="48" spans="1:11" ht="15.75">
      <c r="A48" s="561" t="s">
        <v>560</v>
      </c>
      <c r="B48" s="561" t="str">
        <f t="shared" si="11"/>
        <v>Year 2026</v>
      </c>
      <c r="C48" s="561"/>
      <c r="D48" s="571">
        <f t="shared" si="7"/>
        <v>377477.40864351683</v>
      </c>
      <c r="E48" s="571"/>
      <c r="F48" s="586">
        <f t="shared" si="8"/>
        <v>6.8300000000000001E-3</v>
      </c>
      <c r="G48" s="561"/>
      <c r="H48" s="585">
        <f t="shared" si="9"/>
        <v>-2578.1707010352202</v>
      </c>
      <c r="I48" s="585">
        <f t="shared" si="10"/>
        <v>127548.48310594632</v>
      </c>
      <c r="J48" s="585"/>
      <c r="K48" s="585">
        <f t="shared" si="6"/>
        <v>-252507.09623860574</v>
      </c>
    </row>
    <row r="49" spans="1:11" ht="15.75">
      <c r="A49" s="561" t="s">
        <v>561</v>
      </c>
      <c r="B49" s="561" t="str">
        <f t="shared" si="11"/>
        <v>Year 2026</v>
      </c>
      <c r="C49" s="561"/>
      <c r="D49" s="571">
        <f t="shared" si="7"/>
        <v>252507.09623860574</v>
      </c>
      <c r="E49" s="571"/>
      <c r="F49" s="586">
        <f t="shared" si="8"/>
        <v>6.8300000000000001E-3</v>
      </c>
      <c r="G49" s="561"/>
      <c r="H49" s="585">
        <f t="shared" si="9"/>
        <v>-1724.6234673096772</v>
      </c>
      <c r="I49" s="585">
        <f t="shared" si="10"/>
        <v>127548.48310594632</v>
      </c>
      <c r="J49" s="585"/>
      <c r="K49" s="585">
        <f t="shared" si="6"/>
        <v>-126683.23659996911</v>
      </c>
    </row>
    <row r="50" spans="1:11" ht="15.75">
      <c r="A50" s="561" t="s">
        <v>191</v>
      </c>
      <c r="B50" s="561" t="str">
        <f t="shared" si="11"/>
        <v>Year 2026</v>
      </c>
      <c r="C50" s="561"/>
      <c r="D50" s="571">
        <f t="shared" si="7"/>
        <v>126683.23659996911</v>
      </c>
      <c r="E50" s="571"/>
      <c r="F50" s="586">
        <f t="shared" si="8"/>
        <v>6.8300000000000001E-3</v>
      </c>
      <c r="G50" s="561"/>
      <c r="H50" s="587">
        <f t="shared" si="9"/>
        <v>-865.24650597778907</v>
      </c>
      <c r="I50" s="585">
        <f t="shared" si="10"/>
        <v>127548.48310594632</v>
      </c>
      <c r="J50" s="585"/>
      <c r="K50" s="585">
        <f t="shared" si="6"/>
        <v>-5.8207660913467407E-10</v>
      </c>
    </row>
    <row r="51" spans="1:11" ht="15.75">
      <c r="A51" s="561"/>
      <c r="B51" s="561"/>
      <c r="C51" s="561"/>
      <c r="D51" s="571"/>
      <c r="E51" s="571"/>
      <c r="F51" s="586"/>
      <c r="G51" s="561"/>
      <c r="H51" s="585">
        <f>SUM(H39:H50)</f>
        <v>-65838.662377981644</v>
      </c>
      <c r="I51" s="585"/>
      <c r="J51" s="585"/>
      <c r="K51" s="585"/>
    </row>
    <row r="52" spans="1:11" ht="15">
      <c r="A52" s="11"/>
      <c r="B52" s="11"/>
      <c r="C52" s="11"/>
      <c r="D52" s="11"/>
      <c r="E52" s="11"/>
      <c r="F52" s="11"/>
      <c r="G52" s="11"/>
      <c r="H52" s="11"/>
      <c r="I52" s="592"/>
      <c r="J52" s="11"/>
      <c r="K52" s="11"/>
    </row>
    <row r="53" spans="1:11" ht="15.75">
      <c r="A53" s="561" t="s">
        <v>569</v>
      </c>
      <c r="B53" s="11"/>
      <c r="C53" s="11"/>
      <c r="D53" s="11"/>
      <c r="E53" s="11"/>
      <c r="F53" s="11"/>
      <c r="G53" s="11"/>
      <c r="H53" s="11"/>
      <c r="I53" s="593">
        <f>(SUM(I39:I50)*-1)</f>
        <v>-1530581.7972713558</v>
      </c>
      <c r="J53" s="11"/>
      <c r="K53" s="11"/>
    </row>
    <row r="54" spans="1:11" ht="15.75">
      <c r="A54" s="561" t="s">
        <v>565</v>
      </c>
      <c r="B54" s="11"/>
      <c r="C54" s="11"/>
      <c r="D54" s="11"/>
      <c r="E54" s="11"/>
      <c r="F54" s="11"/>
      <c r="G54" s="11"/>
      <c r="H54" s="11"/>
      <c r="I54" s="594">
        <f>+H10</f>
        <v>1296240.1879858114</v>
      </c>
      <c r="J54" s="11"/>
      <c r="K54" s="11"/>
    </row>
    <row r="55" spans="1:11" ht="15.75">
      <c r="A55" s="561" t="s">
        <v>566</v>
      </c>
      <c r="B55" s="11"/>
      <c r="C55" s="11"/>
      <c r="D55" s="11"/>
      <c r="E55" s="11"/>
      <c r="F55" s="11"/>
      <c r="G55" s="11"/>
      <c r="H55" s="11"/>
      <c r="I55" s="593">
        <f>(I53+I54)</f>
        <v>-234341.60928554437</v>
      </c>
      <c r="J55" s="11"/>
      <c r="K55" s="11"/>
    </row>
    <row r="57" spans="1:11" ht="96" customHeight="1">
      <c r="A57" s="1344" t="s">
        <v>570</v>
      </c>
      <c r="B57" s="1344"/>
      <c r="C57" s="1344"/>
      <c r="D57" s="1344"/>
      <c r="E57" s="595"/>
      <c r="F57" s="595"/>
      <c r="G57" s="595"/>
      <c r="H57" s="595"/>
      <c r="I57" s="595"/>
      <c r="J57" s="595"/>
      <c r="K57" s="595"/>
    </row>
  </sheetData>
  <mergeCells count="5">
    <mergeCell ref="A1:K1"/>
    <mergeCell ref="A2:K2"/>
    <mergeCell ref="A3:K3"/>
    <mergeCell ref="D4:G4"/>
    <mergeCell ref="A57:D57"/>
  </mergeCells>
  <pageMargins left="0.7" right="0.7" top="0.75" bottom="0.75" header="0.3" footer="0.3"/>
  <pageSetup scale="4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K57"/>
  <sheetViews>
    <sheetView view="pageBreakPreview" topLeftCell="A8" zoomScale="60" zoomScaleNormal="100" workbookViewId="0">
      <selection activeCell="I38" sqref="I38"/>
    </sheetView>
  </sheetViews>
  <sheetFormatPr defaultRowHeight="12.75"/>
  <cols>
    <col min="1" max="1" width="32" customWidth="1"/>
    <col min="4" max="4" width="26.7109375" customWidth="1"/>
    <col min="5" max="5" width="17.140625" customWidth="1"/>
    <col min="6" max="6" width="13" customWidth="1"/>
    <col min="8" max="8" width="23.42578125" customWidth="1"/>
    <col min="9" max="9" width="15.7109375" customWidth="1"/>
    <col min="11" max="11" width="14.85546875" customWidth="1"/>
  </cols>
  <sheetData>
    <row r="1" spans="1:11" ht="15.75">
      <c r="A1" s="1342" t="s">
        <v>387</v>
      </c>
      <c r="B1" s="1342"/>
      <c r="C1" s="1342"/>
      <c r="D1" s="1342"/>
      <c r="E1" s="1342"/>
      <c r="F1" s="1342"/>
      <c r="G1" s="1342"/>
      <c r="H1" s="1342"/>
      <c r="I1" s="1342"/>
      <c r="J1" s="1342"/>
      <c r="K1" s="1342"/>
    </row>
    <row r="2" spans="1:11" ht="15.75">
      <c r="A2" s="1343" t="s">
        <v>567</v>
      </c>
      <c r="B2" s="1343"/>
      <c r="C2" s="1343"/>
      <c r="D2" s="1343"/>
      <c r="E2" s="1343"/>
      <c r="F2" s="1343"/>
      <c r="G2" s="1343"/>
      <c r="H2" s="1343"/>
      <c r="I2" s="1343"/>
      <c r="J2" s="1343"/>
      <c r="K2" s="1343"/>
    </row>
    <row r="3" spans="1:11" ht="15.75">
      <c r="A3" s="1343" t="s">
        <v>568</v>
      </c>
      <c r="B3" s="1343"/>
      <c r="C3" s="1343"/>
      <c r="D3" s="1343"/>
      <c r="E3" s="1343"/>
      <c r="F3" s="1343"/>
      <c r="G3" s="1343"/>
      <c r="H3" s="1343"/>
      <c r="I3" s="1343"/>
      <c r="J3" s="1343"/>
      <c r="K3" s="1343"/>
    </row>
    <row r="4" spans="1:11" ht="15.75">
      <c r="A4" s="11"/>
      <c r="B4" s="11"/>
      <c r="C4" s="11"/>
      <c r="D4" s="1343"/>
      <c r="E4" s="1343"/>
      <c r="F4" s="1343"/>
      <c r="G4" s="1343"/>
      <c r="H4" s="11"/>
      <c r="I4" s="11"/>
      <c r="J4" s="11"/>
      <c r="K4" s="11"/>
    </row>
    <row r="7" spans="1:11" ht="16.5" thickBot="1">
      <c r="A7" s="560"/>
      <c r="B7" s="561"/>
      <c r="C7" s="561"/>
      <c r="D7" s="561"/>
      <c r="E7" s="561"/>
      <c r="F7" s="561"/>
      <c r="G7" s="561"/>
      <c r="H7" s="561"/>
      <c r="I7" s="561"/>
      <c r="J7" s="561"/>
      <c r="K7" s="561"/>
    </row>
    <row r="8" spans="1:11" ht="47.25">
      <c r="A8" s="562" t="str">
        <f>'WSQ NSPR'!A8</f>
        <v>Reconciliation Revenue Requirement For Year 2024 Available May 25, 2025</v>
      </c>
      <c r="B8" s="561"/>
      <c r="C8" s="561"/>
      <c r="D8" s="562" t="str">
        <f>'WSQ NSPR'!D8</f>
        <v>2024 Forecasted Revenue Requirement For Year 2024</v>
      </c>
      <c r="E8" s="561"/>
      <c r="F8" s="561"/>
      <c r="G8" s="11"/>
      <c r="H8" s="562" t="s">
        <v>548</v>
      </c>
      <c r="I8" s="11"/>
      <c r="J8" s="11"/>
      <c r="K8" s="11"/>
    </row>
    <row r="9" spans="1:11" ht="15.75">
      <c r="A9" s="563" t="s">
        <v>114</v>
      </c>
      <c r="B9" s="561"/>
      <c r="C9" s="561"/>
      <c r="D9" s="563"/>
      <c r="E9" s="561"/>
      <c r="F9" s="561"/>
      <c r="G9" s="11"/>
      <c r="H9" s="564"/>
      <c r="I9" s="11"/>
      <c r="J9" s="11"/>
      <c r="K9" s="11"/>
    </row>
    <row r="10" spans="1:11" ht="16.5" thickBot="1">
      <c r="A10" s="639">
        <v>112933.59683604029</v>
      </c>
      <c r="B10" s="565" t="str">
        <f>"-"</f>
        <v>-</v>
      </c>
      <c r="C10" s="566"/>
      <c r="D10" s="639">
        <v>119236.77127751833</v>
      </c>
      <c r="E10" s="567"/>
      <c r="F10" s="568" t="str">
        <f>"="</f>
        <v>=</v>
      </c>
      <c r="G10" s="569"/>
      <c r="H10" s="570">
        <f>IF(A10=0,0,D10-A10)</f>
        <v>6303.1744414780405</v>
      </c>
      <c r="I10" s="11"/>
      <c r="J10" s="11"/>
      <c r="K10" s="11"/>
    </row>
    <row r="11" spans="1:11" ht="15.75">
      <c r="A11" s="571"/>
      <c r="B11" s="572"/>
      <c r="C11" s="572"/>
      <c r="D11" s="571"/>
      <c r="E11" s="571"/>
      <c r="F11" s="572"/>
      <c r="G11" s="571"/>
      <c r="H11" s="11"/>
      <c r="I11" s="11"/>
      <c r="J11" s="11"/>
      <c r="K11" s="11"/>
    </row>
    <row r="12" spans="1:11" ht="16.5" thickBot="1">
      <c r="A12" s="573"/>
      <c r="B12" s="574"/>
      <c r="C12" s="574"/>
      <c r="D12" s="573"/>
      <c r="E12" s="573"/>
      <c r="F12" s="574"/>
      <c r="G12" s="573"/>
      <c r="H12" s="575"/>
      <c r="I12" s="575"/>
      <c r="J12" s="575"/>
      <c r="K12" s="575"/>
    </row>
    <row r="13" spans="1:11" ht="15.75">
      <c r="A13" s="576"/>
      <c r="B13" s="572"/>
      <c r="C13" s="572"/>
      <c r="D13" s="571"/>
      <c r="E13" s="571"/>
      <c r="F13" s="572"/>
      <c r="G13" s="571"/>
      <c r="H13" s="11"/>
      <c r="I13" s="11"/>
      <c r="J13" s="11"/>
      <c r="K13" s="11"/>
    </row>
    <row r="14" spans="1:11" ht="47.25">
      <c r="A14" s="577" t="s">
        <v>549</v>
      </c>
      <c r="B14" s="572"/>
      <c r="C14" s="572"/>
      <c r="D14" s="578" t="s">
        <v>550</v>
      </c>
      <c r="E14" s="571"/>
      <c r="F14" s="578" t="s">
        <v>551</v>
      </c>
      <c r="G14" s="579" t="s">
        <v>552</v>
      </c>
      <c r="H14" s="580" t="s">
        <v>553</v>
      </c>
      <c r="I14" s="578" t="s">
        <v>554</v>
      </c>
      <c r="J14" s="581"/>
      <c r="K14" s="578" t="s">
        <v>555</v>
      </c>
    </row>
    <row r="15" spans="1:11" ht="15.75">
      <c r="A15" s="577" t="s">
        <v>556</v>
      </c>
      <c r="B15" s="572"/>
      <c r="C15" s="572"/>
      <c r="D15" s="11"/>
      <c r="E15" s="582"/>
      <c r="F15" s="640">
        <v>6.8300000000000001E-3</v>
      </c>
      <c r="H15" s="11"/>
      <c r="I15" s="11"/>
      <c r="J15" s="11"/>
      <c r="K15" s="11"/>
    </row>
    <row r="16" spans="1:11" ht="15.75">
      <c r="A16" s="577"/>
      <c r="B16" s="572"/>
      <c r="C16" s="572"/>
      <c r="D16" s="11"/>
      <c r="E16" s="582"/>
      <c r="F16" s="582"/>
      <c r="G16" s="571"/>
      <c r="H16" s="11"/>
      <c r="I16" s="11"/>
      <c r="J16" s="11"/>
      <c r="K16" s="11"/>
    </row>
    <row r="17" spans="1:11" ht="15.75">
      <c r="A17" s="577" t="str">
        <f>'WSQ NSPR'!A17</f>
        <v>An over or under collection will be recovered prorata over 2024, held for 2025 and returned prorate over 2026</v>
      </c>
      <c r="B17" s="572"/>
      <c r="C17" s="572"/>
      <c r="D17" s="11"/>
      <c r="E17" s="582"/>
      <c r="F17" s="582"/>
      <c r="G17" s="571"/>
      <c r="H17" s="11"/>
      <c r="I17" s="11"/>
      <c r="J17" s="11"/>
      <c r="K17" s="11"/>
    </row>
    <row r="18" spans="1:11" ht="15.75">
      <c r="A18" s="583" t="s">
        <v>114</v>
      </c>
      <c r="B18" s="572"/>
      <c r="C18" s="572"/>
      <c r="D18" s="572"/>
      <c r="E18" s="572"/>
      <c r="F18" s="572" t="s">
        <v>114</v>
      </c>
      <c r="G18" s="11"/>
      <c r="H18" s="11"/>
      <c r="I18" s="11"/>
      <c r="J18" s="11"/>
      <c r="K18" s="11"/>
    </row>
    <row r="19" spans="1:11" ht="15.75">
      <c r="A19" s="584"/>
      <c r="B19" s="572"/>
      <c r="C19" s="572"/>
      <c r="D19" s="572"/>
      <c r="E19" s="572"/>
      <c r="F19" s="11"/>
      <c r="G19" s="11"/>
      <c r="H19" s="579"/>
      <c r="I19" s="572"/>
      <c r="J19" s="572"/>
      <c r="K19" s="572"/>
    </row>
    <row r="20" spans="1:11" ht="15.75">
      <c r="A20" s="584" t="s">
        <v>557</v>
      </c>
      <c r="B20" s="572"/>
      <c r="C20" s="572"/>
      <c r="D20" s="572"/>
      <c r="E20" s="572"/>
      <c r="F20" s="11"/>
      <c r="G20" s="11"/>
      <c r="H20" s="579" t="s">
        <v>558</v>
      </c>
      <c r="I20" s="572"/>
      <c r="J20" s="572"/>
      <c r="K20" s="572"/>
    </row>
    <row r="21" spans="1:11" ht="15.75">
      <c r="A21" s="561" t="s">
        <v>185</v>
      </c>
      <c r="B21" s="561" t="str">
        <f>"Year "&amp;TCOS!L4-2</f>
        <v>Year 2024</v>
      </c>
      <c r="C21" s="561"/>
      <c r="D21" s="585">
        <f>H10/12</f>
        <v>525.26453678983671</v>
      </c>
      <c r="E21" s="585"/>
      <c r="F21" s="586">
        <f>F15</f>
        <v>6.8300000000000001E-3</v>
      </c>
      <c r="G21" s="572">
        <v>12</v>
      </c>
      <c r="H21" s="585">
        <f>F21*D21*G21*-1</f>
        <v>-43.050681435295019</v>
      </c>
      <c r="I21" s="585"/>
      <c r="J21" s="585"/>
      <c r="K21" s="585">
        <f>(-H21+D21)*-1</f>
        <v>-568.31521822513173</v>
      </c>
    </row>
    <row r="22" spans="1:11" ht="15.75">
      <c r="A22" s="561" t="s">
        <v>559</v>
      </c>
      <c r="B22" s="561" t="str">
        <f>B21</f>
        <v>Year 2024</v>
      </c>
      <c r="C22" s="561"/>
      <c r="D22" s="585">
        <f>+D21</f>
        <v>525.26453678983671</v>
      </c>
      <c r="E22" s="585"/>
      <c r="F22" s="586">
        <f>+F21</f>
        <v>6.8300000000000001E-3</v>
      </c>
      <c r="G22" s="572">
        <f t="shared" ref="G22:G32" si="0">+G21-1</f>
        <v>11</v>
      </c>
      <c r="H22" s="585">
        <f t="shared" ref="H22:H32" si="1">F22*D22*G22*-1</f>
        <v>-39.463124649020429</v>
      </c>
      <c r="I22" s="585"/>
      <c r="J22" s="585"/>
      <c r="K22" s="585">
        <f t="shared" ref="K22:K32" si="2">(-H22+D22)*-1</f>
        <v>-564.72766143885713</v>
      </c>
    </row>
    <row r="23" spans="1:11" ht="15.75">
      <c r="A23" s="561" t="s">
        <v>186</v>
      </c>
      <c r="B23" s="561" t="str">
        <f t="shared" ref="B23:B32" si="3">B22</f>
        <v>Year 2024</v>
      </c>
      <c r="C23" s="561"/>
      <c r="D23" s="585">
        <f t="shared" ref="D23:D32" si="4">+D22</f>
        <v>525.26453678983671</v>
      </c>
      <c r="E23" s="585"/>
      <c r="F23" s="586">
        <f t="shared" ref="F23:F32" si="5">+F22</f>
        <v>6.8300000000000001E-3</v>
      </c>
      <c r="G23" s="572">
        <f t="shared" si="0"/>
        <v>10</v>
      </c>
      <c r="H23" s="585">
        <f t="shared" si="1"/>
        <v>-35.875567862745847</v>
      </c>
      <c r="I23" s="585"/>
      <c r="J23" s="585"/>
      <c r="K23" s="585">
        <f t="shared" si="2"/>
        <v>-561.14010465258252</v>
      </c>
    </row>
    <row r="24" spans="1:11" ht="15.75">
      <c r="A24" s="561" t="s">
        <v>187</v>
      </c>
      <c r="B24" s="561" t="str">
        <f t="shared" si="3"/>
        <v>Year 2024</v>
      </c>
      <c r="C24" s="561"/>
      <c r="D24" s="585">
        <f t="shared" si="4"/>
        <v>525.26453678983671</v>
      </c>
      <c r="E24" s="585"/>
      <c r="F24" s="586">
        <f t="shared" si="5"/>
        <v>6.8300000000000001E-3</v>
      </c>
      <c r="G24" s="572">
        <f t="shared" si="0"/>
        <v>9</v>
      </c>
      <c r="H24" s="585">
        <f t="shared" si="1"/>
        <v>-32.288011076471264</v>
      </c>
      <c r="I24" s="585"/>
      <c r="J24" s="585"/>
      <c r="K24" s="585">
        <f t="shared" si="2"/>
        <v>-557.55254786630803</v>
      </c>
    </row>
    <row r="25" spans="1:11" ht="15.75">
      <c r="A25" s="561" t="s">
        <v>188</v>
      </c>
      <c r="B25" s="561" t="str">
        <f t="shared" si="3"/>
        <v>Year 2024</v>
      </c>
      <c r="C25" s="561"/>
      <c r="D25" s="585">
        <f t="shared" si="4"/>
        <v>525.26453678983671</v>
      </c>
      <c r="E25" s="585"/>
      <c r="F25" s="586">
        <f t="shared" si="5"/>
        <v>6.8300000000000001E-3</v>
      </c>
      <c r="G25" s="572">
        <f t="shared" si="0"/>
        <v>8</v>
      </c>
      <c r="H25" s="585">
        <f t="shared" si="1"/>
        <v>-28.700454290196678</v>
      </c>
      <c r="I25" s="585"/>
      <c r="J25" s="585"/>
      <c r="K25" s="585">
        <f t="shared" si="2"/>
        <v>-553.96499108003343</v>
      </c>
    </row>
    <row r="26" spans="1:11" ht="15.75">
      <c r="A26" s="561" t="s">
        <v>382</v>
      </c>
      <c r="B26" s="561" t="str">
        <f t="shared" si="3"/>
        <v>Year 2024</v>
      </c>
      <c r="C26" s="561"/>
      <c r="D26" s="585">
        <f t="shared" si="4"/>
        <v>525.26453678983671</v>
      </c>
      <c r="E26" s="585"/>
      <c r="F26" s="586">
        <f t="shared" si="5"/>
        <v>6.8300000000000001E-3</v>
      </c>
      <c r="G26" s="572">
        <f t="shared" si="0"/>
        <v>7</v>
      </c>
      <c r="H26" s="585">
        <f t="shared" si="1"/>
        <v>-25.112897503922092</v>
      </c>
      <c r="I26" s="585"/>
      <c r="J26" s="585"/>
      <c r="K26" s="585">
        <f t="shared" si="2"/>
        <v>-550.37743429375882</v>
      </c>
    </row>
    <row r="27" spans="1:11" ht="15.75">
      <c r="A27" s="561" t="s">
        <v>189</v>
      </c>
      <c r="B27" s="561" t="str">
        <f t="shared" si="3"/>
        <v>Year 2024</v>
      </c>
      <c r="C27" s="561"/>
      <c r="D27" s="585">
        <f t="shared" si="4"/>
        <v>525.26453678983671</v>
      </c>
      <c r="E27" s="585"/>
      <c r="F27" s="586">
        <f t="shared" si="5"/>
        <v>6.8300000000000001E-3</v>
      </c>
      <c r="G27" s="572">
        <f t="shared" si="0"/>
        <v>6</v>
      </c>
      <c r="H27" s="585">
        <f t="shared" si="1"/>
        <v>-21.525340717647509</v>
      </c>
      <c r="I27" s="585"/>
      <c r="J27" s="585"/>
      <c r="K27" s="585">
        <f t="shared" si="2"/>
        <v>-546.78987750748422</v>
      </c>
    </row>
    <row r="28" spans="1:11" ht="15.75">
      <c r="A28" s="561" t="s">
        <v>190</v>
      </c>
      <c r="B28" s="561" t="str">
        <f t="shared" si="3"/>
        <v>Year 2024</v>
      </c>
      <c r="C28" s="561"/>
      <c r="D28" s="585">
        <f t="shared" si="4"/>
        <v>525.26453678983671</v>
      </c>
      <c r="E28" s="585"/>
      <c r="F28" s="586">
        <f t="shared" si="5"/>
        <v>6.8300000000000001E-3</v>
      </c>
      <c r="G28" s="572">
        <f t="shared" si="0"/>
        <v>5</v>
      </c>
      <c r="H28" s="585">
        <f t="shared" si="1"/>
        <v>-17.937783931372923</v>
      </c>
      <c r="I28" s="585"/>
      <c r="J28" s="585"/>
      <c r="K28" s="585">
        <f t="shared" si="2"/>
        <v>-543.20232072120962</v>
      </c>
    </row>
    <row r="29" spans="1:11" ht="15.75">
      <c r="A29" s="561" t="s">
        <v>192</v>
      </c>
      <c r="B29" s="561" t="str">
        <f t="shared" si="3"/>
        <v>Year 2024</v>
      </c>
      <c r="C29" s="561"/>
      <c r="D29" s="585">
        <f t="shared" si="4"/>
        <v>525.26453678983671</v>
      </c>
      <c r="E29" s="585"/>
      <c r="F29" s="586">
        <f t="shared" si="5"/>
        <v>6.8300000000000001E-3</v>
      </c>
      <c r="G29" s="572">
        <f t="shared" si="0"/>
        <v>4</v>
      </c>
      <c r="H29" s="585">
        <f t="shared" si="1"/>
        <v>-14.350227145098339</v>
      </c>
      <c r="I29" s="585"/>
      <c r="J29" s="585"/>
      <c r="K29" s="585">
        <f t="shared" si="2"/>
        <v>-539.61476393493501</v>
      </c>
    </row>
    <row r="30" spans="1:11" ht="15.75">
      <c r="A30" s="561" t="s">
        <v>560</v>
      </c>
      <c r="B30" s="561" t="str">
        <f t="shared" si="3"/>
        <v>Year 2024</v>
      </c>
      <c r="C30" s="561"/>
      <c r="D30" s="585">
        <f t="shared" si="4"/>
        <v>525.26453678983671</v>
      </c>
      <c r="E30" s="585"/>
      <c r="F30" s="586">
        <f t="shared" si="5"/>
        <v>6.8300000000000001E-3</v>
      </c>
      <c r="G30" s="572">
        <f t="shared" si="0"/>
        <v>3</v>
      </c>
      <c r="H30" s="585">
        <f t="shared" si="1"/>
        <v>-10.762670358823755</v>
      </c>
      <c r="I30" s="585"/>
      <c r="J30" s="585"/>
      <c r="K30" s="585">
        <f t="shared" si="2"/>
        <v>-536.02720714866041</v>
      </c>
    </row>
    <row r="31" spans="1:11" ht="15.75">
      <c r="A31" s="561" t="s">
        <v>561</v>
      </c>
      <c r="B31" s="561" t="str">
        <f t="shared" si="3"/>
        <v>Year 2024</v>
      </c>
      <c r="C31" s="561"/>
      <c r="D31" s="585">
        <f t="shared" si="4"/>
        <v>525.26453678983671</v>
      </c>
      <c r="E31" s="585"/>
      <c r="F31" s="586">
        <f t="shared" si="5"/>
        <v>6.8300000000000001E-3</v>
      </c>
      <c r="G31" s="572">
        <f t="shared" si="0"/>
        <v>2</v>
      </c>
      <c r="H31" s="585">
        <f t="shared" si="1"/>
        <v>-7.1751135725491695</v>
      </c>
      <c r="I31" s="585"/>
      <c r="J31" s="585"/>
      <c r="K31" s="585">
        <f t="shared" si="2"/>
        <v>-532.43965036238592</v>
      </c>
    </row>
    <row r="32" spans="1:11" ht="15.75">
      <c r="A32" s="561" t="s">
        <v>191</v>
      </c>
      <c r="B32" s="561" t="str">
        <f t="shared" si="3"/>
        <v>Year 2024</v>
      </c>
      <c r="C32" s="561"/>
      <c r="D32" s="585">
        <f t="shared" si="4"/>
        <v>525.26453678983671</v>
      </c>
      <c r="E32" s="585"/>
      <c r="F32" s="586">
        <f t="shared" si="5"/>
        <v>6.8300000000000001E-3</v>
      </c>
      <c r="G32" s="572">
        <f t="shared" si="0"/>
        <v>1</v>
      </c>
      <c r="H32" s="587">
        <f t="shared" si="1"/>
        <v>-3.5875567862745847</v>
      </c>
      <c r="I32" s="585"/>
      <c r="J32" s="585"/>
      <c r="K32" s="585">
        <f t="shared" si="2"/>
        <v>-528.85209357611132</v>
      </c>
    </row>
    <row r="33" spans="1:11" ht="15.75">
      <c r="A33" s="561"/>
      <c r="B33" s="561"/>
      <c r="C33" s="561"/>
      <c r="D33" s="585"/>
      <c r="E33" s="585"/>
      <c r="F33" s="586"/>
      <c r="G33" s="572"/>
      <c r="H33" s="585">
        <f>SUM(H21:H32)</f>
        <v>-279.82942932941762</v>
      </c>
      <c r="I33" s="585"/>
      <c r="J33" s="585"/>
      <c r="K33" s="588">
        <f>SUM(K21:K32)</f>
        <v>-6583.003870807459</v>
      </c>
    </row>
    <row r="34" spans="1:11" ht="15.75">
      <c r="A34" s="561"/>
      <c r="B34" s="561"/>
      <c r="C34" s="561"/>
      <c r="D34" s="585"/>
      <c r="E34" s="585"/>
      <c r="F34" s="586"/>
      <c r="G34" s="572"/>
      <c r="H34" s="585"/>
      <c r="I34" s="585" t="s">
        <v>114</v>
      </c>
      <c r="J34" s="585"/>
      <c r="K34" s="11"/>
    </row>
    <row r="35" spans="1:11" ht="15.75">
      <c r="A35" s="561"/>
      <c r="B35" s="561"/>
      <c r="C35" s="561"/>
      <c r="D35" s="571"/>
      <c r="E35" s="571"/>
      <c r="F35" s="586"/>
      <c r="G35" s="572"/>
      <c r="H35" s="589" t="s">
        <v>562</v>
      </c>
      <c r="I35" s="585"/>
      <c r="J35" s="585"/>
      <c r="K35" s="585"/>
    </row>
    <row r="36" spans="1:11" ht="15.75">
      <c r="A36" s="561" t="s">
        <v>563</v>
      </c>
      <c r="B36" s="561" t="str">
        <f>"Year "&amp;TCOS!L4-1</f>
        <v>Year 2025</v>
      </c>
      <c r="C36" s="561"/>
      <c r="D36" s="571">
        <f>K33</f>
        <v>-6583.003870807459</v>
      </c>
      <c r="E36" s="571"/>
      <c r="F36" s="586">
        <f>F32</f>
        <v>6.8300000000000001E-3</v>
      </c>
      <c r="G36" s="572">
        <v>12</v>
      </c>
      <c r="H36" s="585">
        <f>+G36*F36*D36</f>
        <v>-539.54299725137935</v>
      </c>
      <c r="I36" s="585"/>
      <c r="J36" s="585"/>
      <c r="K36" s="588">
        <f>+D36+H36</f>
        <v>-7122.5468680588383</v>
      </c>
    </row>
    <row r="37" spans="1:11" ht="15.75">
      <c r="A37" s="561"/>
      <c r="B37" s="561"/>
      <c r="C37" s="561"/>
      <c r="D37" s="571"/>
      <c r="E37" s="571"/>
      <c r="F37" s="586"/>
      <c r="G37" s="561"/>
      <c r="H37" s="585"/>
      <c r="I37" s="585"/>
      <c r="J37" s="585"/>
      <c r="K37" s="585"/>
    </row>
    <row r="38" spans="1:11" ht="15.75">
      <c r="A38" s="590" t="s">
        <v>564</v>
      </c>
      <c r="B38" s="561"/>
      <c r="C38" s="561"/>
      <c r="D38" s="585"/>
      <c r="E38" s="585"/>
      <c r="F38" s="586"/>
      <c r="G38" s="561"/>
      <c r="H38" s="589" t="s">
        <v>558</v>
      </c>
      <c r="I38" s="585"/>
      <c r="J38" s="585"/>
      <c r="K38" s="585"/>
    </row>
    <row r="39" spans="1:11" ht="15.75">
      <c r="A39" s="561" t="s">
        <v>185</v>
      </c>
      <c r="B39" s="561" t="str">
        <f>"Year "&amp;TCOS!L4</f>
        <v>Year 2026</v>
      </c>
      <c r="C39" s="561"/>
      <c r="D39" s="591">
        <f>-K36</f>
        <v>7122.5468680588383</v>
      </c>
      <c r="E39" s="571"/>
      <c r="F39" s="586">
        <f>F15</f>
        <v>6.8300000000000001E-3</v>
      </c>
      <c r="G39" s="561"/>
      <c r="H39" s="585">
        <f xml:space="preserve"> -F39*D39</f>
        <v>-48.646995108841864</v>
      </c>
      <c r="I39" s="585">
        <f>PMT(F39,12,K$36)</f>
        <v>620.22482115135188</v>
      </c>
      <c r="J39" s="585"/>
      <c r="K39" s="585">
        <f>(+D39+D39*F39-I39)*-1</f>
        <v>-6550.9690420163288</v>
      </c>
    </row>
    <row r="40" spans="1:11" ht="15.75">
      <c r="A40" s="561" t="s">
        <v>559</v>
      </c>
      <c r="B40" s="561" t="str">
        <f>+B39</f>
        <v>Year 2026</v>
      </c>
      <c r="C40" s="561"/>
      <c r="D40" s="571">
        <f>-K39</f>
        <v>6550.9690420163288</v>
      </c>
      <c r="E40" s="571"/>
      <c r="F40" s="586">
        <f>+F39</f>
        <v>6.8300000000000001E-3</v>
      </c>
      <c r="G40" s="561"/>
      <c r="H40" s="585">
        <f xml:space="preserve"> -F40*D40</f>
        <v>-44.743118556971524</v>
      </c>
      <c r="I40" s="585">
        <f>I39</f>
        <v>620.22482115135188</v>
      </c>
      <c r="J40" s="585"/>
      <c r="K40" s="585">
        <f t="shared" ref="K40:K50" si="6">(+D40+D40*F40-I40)*-1</f>
        <v>-5975.4873394219485</v>
      </c>
    </row>
    <row r="41" spans="1:11" ht="15.75">
      <c r="A41" s="561" t="s">
        <v>186</v>
      </c>
      <c r="B41" s="561" t="str">
        <f>+B40</f>
        <v>Year 2026</v>
      </c>
      <c r="C41" s="561"/>
      <c r="D41" s="571">
        <f t="shared" ref="D41:D50" si="7">-K40</f>
        <v>5975.4873394219485</v>
      </c>
      <c r="E41" s="571"/>
      <c r="F41" s="586">
        <f t="shared" ref="F41:F50" si="8">+F40</f>
        <v>6.8300000000000001E-3</v>
      </c>
      <c r="G41" s="561"/>
      <c r="H41" s="585">
        <f t="shared" ref="H41:H50" si="9" xml:space="preserve"> -F41*D41</f>
        <v>-40.812578528251912</v>
      </c>
      <c r="I41" s="585">
        <f t="shared" ref="I41:I50" si="10">I40</f>
        <v>620.22482115135188</v>
      </c>
      <c r="J41" s="585"/>
      <c r="K41" s="585">
        <f t="shared" si="6"/>
        <v>-5396.0750967988488</v>
      </c>
    </row>
    <row r="42" spans="1:11" ht="15.75">
      <c r="A42" s="561" t="s">
        <v>187</v>
      </c>
      <c r="B42" s="561" t="str">
        <f>+B41</f>
        <v>Year 2026</v>
      </c>
      <c r="C42" s="561"/>
      <c r="D42" s="571">
        <f t="shared" si="7"/>
        <v>5396.0750967988488</v>
      </c>
      <c r="E42" s="571"/>
      <c r="F42" s="586">
        <f t="shared" si="8"/>
        <v>6.8300000000000001E-3</v>
      </c>
      <c r="G42" s="561"/>
      <c r="H42" s="585">
        <f t="shared" si="9"/>
        <v>-36.855192911136136</v>
      </c>
      <c r="I42" s="585">
        <f t="shared" si="10"/>
        <v>620.22482115135188</v>
      </c>
      <c r="J42" s="585"/>
      <c r="K42" s="585">
        <f t="shared" si="6"/>
        <v>-4812.7054685586336</v>
      </c>
    </row>
    <row r="43" spans="1:11" ht="15.75">
      <c r="A43" s="561" t="s">
        <v>188</v>
      </c>
      <c r="B43" s="561" t="str">
        <f>+B42</f>
        <v>Year 2026</v>
      </c>
      <c r="C43" s="561"/>
      <c r="D43" s="571">
        <f t="shared" si="7"/>
        <v>4812.7054685586336</v>
      </c>
      <c r="E43" s="571"/>
      <c r="F43" s="586">
        <f t="shared" si="8"/>
        <v>6.8300000000000001E-3</v>
      </c>
      <c r="G43" s="561"/>
      <c r="H43" s="585">
        <f t="shared" si="9"/>
        <v>-32.87077835025547</v>
      </c>
      <c r="I43" s="585">
        <f>I42</f>
        <v>620.22482115135188</v>
      </c>
      <c r="J43" s="585"/>
      <c r="K43" s="585">
        <f t="shared" si="6"/>
        <v>-4225.3514257575371</v>
      </c>
    </row>
    <row r="44" spans="1:11" ht="15.75">
      <c r="A44" s="561" t="s">
        <v>382</v>
      </c>
      <c r="B44" s="561" t="str">
        <f>B43</f>
        <v>Year 2026</v>
      </c>
      <c r="C44" s="11"/>
      <c r="D44" s="571">
        <f t="shared" si="7"/>
        <v>4225.3514257575371</v>
      </c>
      <c r="E44" s="571"/>
      <c r="F44" s="586">
        <f t="shared" si="8"/>
        <v>6.8300000000000001E-3</v>
      </c>
      <c r="G44" s="561"/>
      <c r="H44" s="585">
        <f t="shared" si="9"/>
        <v>-28.859150237923977</v>
      </c>
      <c r="I44" s="585">
        <f t="shared" si="10"/>
        <v>620.22482115135188</v>
      </c>
      <c r="J44" s="585"/>
      <c r="K44" s="585">
        <f t="shared" si="6"/>
        <v>-3633.9857548441091</v>
      </c>
    </row>
    <row r="45" spans="1:11" ht="15.75">
      <c r="A45" s="561" t="s">
        <v>189</v>
      </c>
      <c r="B45" s="561" t="str">
        <f t="shared" ref="B45:B50" si="11">+B44</f>
        <v>Year 2026</v>
      </c>
      <c r="C45" s="561"/>
      <c r="D45" s="571">
        <f t="shared" si="7"/>
        <v>3633.9857548441091</v>
      </c>
      <c r="E45" s="571"/>
      <c r="F45" s="586">
        <f t="shared" si="8"/>
        <v>6.8300000000000001E-3</v>
      </c>
      <c r="G45" s="561"/>
      <c r="H45" s="585">
        <f t="shared" si="9"/>
        <v>-24.820122705585266</v>
      </c>
      <c r="I45" s="585">
        <f t="shared" si="10"/>
        <v>620.22482115135188</v>
      </c>
      <c r="J45" s="585"/>
      <c r="K45" s="585">
        <f t="shared" si="6"/>
        <v>-3038.5810563983423</v>
      </c>
    </row>
    <row r="46" spans="1:11" ht="15.75">
      <c r="A46" s="561" t="s">
        <v>190</v>
      </c>
      <c r="B46" s="561" t="str">
        <f t="shared" si="11"/>
        <v>Year 2026</v>
      </c>
      <c r="C46" s="561"/>
      <c r="D46" s="571">
        <f t="shared" si="7"/>
        <v>3038.5810563983423</v>
      </c>
      <c r="E46" s="571"/>
      <c r="F46" s="586">
        <f t="shared" si="8"/>
        <v>6.8300000000000001E-3</v>
      </c>
      <c r="G46" s="561"/>
      <c r="H46" s="585">
        <f t="shared" si="9"/>
        <v>-20.75350861520068</v>
      </c>
      <c r="I46" s="585">
        <f t="shared" si="10"/>
        <v>620.22482115135188</v>
      </c>
      <c r="J46" s="585"/>
      <c r="K46" s="585">
        <f t="shared" si="6"/>
        <v>-2439.109743862191</v>
      </c>
    </row>
    <row r="47" spans="1:11" ht="15.75">
      <c r="A47" s="561" t="s">
        <v>192</v>
      </c>
      <c r="B47" s="561" t="str">
        <f t="shared" si="11"/>
        <v>Year 2026</v>
      </c>
      <c r="C47" s="561"/>
      <c r="D47" s="571">
        <f t="shared" si="7"/>
        <v>2439.109743862191</v>
      </c>
      <c r="E47" s="571"/>
      <c r="F47" s="586">
        <f t="shared" si="8"/>
        <v>6.8300000000000001E-3</v>
      </c>
      <c r="G47" s="561"/>
      <c r="H47" s="585">
        <f t="shared" si="9"/>
        <v>-16.659119550578765</v>
      </c>
      <c r="I47" s="585">
        <f>I46</f>
        <v>620.22482115135188</v>
      </c>
      <c r="J47" s="585"/>
      <c r="K47" s="585">
        <f t="shared" si="6"/>
        <v>-1835.5440422614179</v>
      </c>
    </row>
    <row r="48" spans="1:11" ht="15.75">
      <c r="A48" s="561" t="s">
        <v>560</v>
      </c>
      <c r="B48" s="561" t="str">
        <f t="shared" si="11"/>
        <v>Year 2026</v>
      </c>
      <c r="C48" s="561"/>
      <c r="D48" s="571">
        <f t="shared" si="7"/>
        <v>1835.5440422614179</v>
      </c>
      <c r="E48" s="571"/>
      <c r="F48" s="586">
        <f t="shared" si="8"/>
        <v>6.8300000000000001E-3</v>
      </c>
      <c r="G48" s="561"/>
      <c r="H48" s="585">
        <f t="shared" si="9"/>
        <v>-12.536765808645484</v>
      </c>
      <c r="I48" s="585">
        <f t="shared" si="10"/>
        <v>620.22482115135188</v>
      </c>
      <c r="J48" s="585"/>
      <c r="K48" s="585">
        <f t="shared" si="6"/>
        <v>-1227.8559869187116</v>
      </c>
    </row>
    <row r="49" spans="1:11" ht="15.75">
      <c r="A49" s="561" t="s">
        <v>561</v>
      </c>
      <c r="B49" s="561" t="str">
        <f t="shared" si="11"/>
        <v>Year 2026</v>
      </c>
      <c r="C49" s="561"/>
      <c r="D49" s="571">
        <f t="shared" si="7"/>
        <v>1227.8559869187116</v>
      </c>
      <c r="E49" s="571"/>
      <c r="F49" s="586">
        <f t="shared" si="8"/>
        <v>6.8300000000000001E-3</v>
      </c>
      <c r="G49" s="561"/>
      <c r="H49" s="585">
        <f t="shared" si="9"/>
        <v>-8.3862563906548004</v>
      </c>
      <c r="I49" s="585">
        <f t="shared" si="10"/>
        <v>620.22482115135188</v>
      </c>
      <c r="J49" s="585"/>
      <c r="K49" s="585">
        <f t="shared" si="6"/>
        <v>-616.01742215801448</v>
      </c>
    </row>
    <row r="50" spans="1:11" ht="15.75">
      <c r="A50" s="561" t="s">
        <v>191</v>
      </c>
      <c r="B50" s="561" t="str">
        <f t="shared" si="11"/>
        <v>Year 2026</v>
      </c>
      <c r="C50" s="561"/>
      <c r="D50" s="571">
        <f t="shared" si="7"/>
        <v>616.01742215801448</v>
      </c>
      <c r="E50" s="571"/>
      <c r="F50" s="586">
        <f t="shared" si="8"/>
        <v>6.8300000000000001E-3</v>
      </c>
      <c r="G50" s="561"/>
      <c r="H50" s="587">
        <f t="shared" si="9"/>
        <v>-4.2073989933392388</v>
      </c>
      <c r="I50" s="585">
        <f t="shared" si="10"/>
        <v>620.22482115135188</v>
      </c>
      <c r="J50" s="585"/>
      <c r="K50" s="585">
        <f t="shared" si="6"/>
        <v>-1.8189894035458565E-12</v>
      </c>
    </row>
    <row r="51" spans="1:11" ht="15.75">
      <c r="A51" s="561"/>
      <c r="B51" s="561"/>
      <c r="C51" s="561"/>
      <c r="D51" s="571"/>
      <c r="E51" s="571"/>
      <c r="F51" s="586"/>
      <c r="G51" s="561"/>
      <c r="H51" s="585">
        <f>SUM(H39:H50)</f>
        <v>-320.15098575738517</v>
      </c>
      <c r="I51" s="585"/>
      <c r="J51" s="585"/>
      <c r="K51" s="585"/>
    </row>
    <row r="52" spans="1:11" ht="15">
      <c r="A52" s="11"/>
      <c r="B52" s="11"/>
      <c r="C52" s="11"/>
      <c r="D52" s="11"/>
      <c r="E52" s="11"/>
      <c r="F52" s="11"/>
      <c r="G52" s="11"/>
      <c r="H52" s="11"/>
      <c r="I52" s="592"/>
      <c r="J52" s="11"/>
      <c r="K52" s="11"/>
    </row>
    <row r="53" spans="1:11" ht="15.75">
      <c r="A53" s="561" t="s">
        <v>569</v>
      </c>
      <c r="B53" s="11"/>
      <c r="C53" s="11"/>
      <c r="D53" s="11"/>
      <c r="E53" s="11"/>
      <c r="F53" s="11"/>
      <c r="G53" s="11"/>
      <c r="H53" s="11"/>
      <c r="I53" s="593">
        <f>(SUM(I39:I50)*-1)</f>
        <v>-7442.6978538162211</v>
      </c>
      <c r="J53" s="11"/>
      <c r="K53" s="11"/>
    </row>
    <row r="54" spans="1:11" ht="15.75">
      <c r="A54" s="561" t="s">
        <v>565</v>
      </c>
      <c r="B54" s="11"/>
      <c r="C54" s="11"/>
      <c r="D54" s="11"/>
      <c r="E54" s="11"/>
      <c r="F54" s="11"/>
      <c r="G54" s="11"/>
      <c r="H54" s="11"/>
      <c r="I54" s="594">
        <f>+H10</f>
        <v>6303.1744414780405</v>
      </c>
      <c r="J54" s="11"/>
      <c r="K54" s="11"/>
    </row>
    <row r="55" spans="1:11" ht="15.75">
      <c r="A55" s="561" t="s">
        <v>566</v>
      </c>
      <c r="B55" s="11"/>
      <c r="C55" s="11"/>
      <c r="D55" s="11"/>
      <c r="E55" s="11"/>
      <c r="F55" s="11"/>
      <c r="G55" s="11"/>
      <c r="H55" s="11"/>
      <c r="I55" s="593">
        <f>(I53+I54)</f>
        <v>-1139.5234123381806</v>
      </c>
      <c r="J55" s="11"/>
      <c r="K55" s="11"/>
    </row>
    <row r="57" spans="1:11" ht="102" customHeight="1">
      <c r="A57" s="1344" t="s">
        <v>570</v>
      </c>
      <c r="B57" s="1344"/>
      <c r="C57" s="1344"/>
      <c r="D57" s="1344"/>
      <c r="E57" s="595"/>
      <c r="F57" s="595"/>
      <c r="G57" s="595"/>
      <c r="H57" s="595"/>
      <c r="I57" s="595"/>
      <c r="J57" s="595"/>
      <c r="K57" s="595"/>
    </row>
  </sheetData>
  <mergeCells count="5">
    <mergeCell ref="A1:K1"/>
    <mergeCell ref="A2:K2"/>
    <mergeCell ref="A3:K3"/>
    <mergeCell ref="D4:G4"/>
    <mergeCell ref="A57:D57"/>
  </mergeCells>
  <pageMargins left="0.7" right="0.7" top="0.75" bottom="0.75" header="0.3" footer="0.3"/>
  <pageSetup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97"/>
  <sheetViews>
    <sheetView view="pageBreakPreview" zoomScale="60" zoomScaleNormal="50" workbookViewId="0">
      <selection activeCell="F20" sqref="A20:F23"/>
    </sheetView>
  </sheetViews>
  <sheetFormatPr defaultRowHeight="12.75"/>
  <cols>
    <col min="1" max="1" width="7.7109375" style="1" bestFit="1" customWidth="1"/>
    <col min="2" max="2" width="57.7109375" bestFit="1" customWidth="1"/>
    <col min="3" max="4" width="14.85546875" customWidth="1"/>
    <col min="5" max="6" width="14.28515625" customWidth="1"/>
    <col min="7" max="7" width="15.28515625" bestFit="1" customWidth="1"/>
    <col min="8" max="8" width="3.7109375" customWidth="1"/>
    <col min="9" max="9" width="13.140625" bestFit="1" customWidth="1"/>
    <col min="10" max="10" width="15" bestFit="1" customWidth="1"/>
    <col min="11" max="11" width="13.5703125" bestFit="1" customWidth="1"/>
    <col min="12" max="12" width="3.7109375" customWidth="1"/>
    <col min="13" max="13" width="13.140625" bestFit="1" customWidth="1"/>
    <col min="14" max="14" width="15" bestFit="1" customWidth="1"/>
    <col min="15" max="15" width="13.5703125" bestFit="1" customWidth="1"/>
    <col min="16" max="16" width="3" customWidth="1"/>
    <col min="17" max="17" width="13.140625" bestFit="1" customWidth="1"/>
    <col min="18" max="18" width="15" bestFit="1" customWidth="1"/>
    <col min="19" max="19" width="13.5703125" bestFit="1" customWidth="1"/>
  </cols>
  <sheetData>
    <row r="1" spans="1:19">
      <c r="A1" s="769"/>
      <c r="B1" s="811" t="str">
        <f>TCOS!F9</f>
        <v>WHEELING POWER COMPANY</v>
      </c>
      <c r="C1" s="754"/>
      <c r="D1" s="754"/>
      <c r="E1" s="754"/>
      <c r="F1" s="754"/>
      <c r="M1" s="754"/>
      <c r="N1" s="754"/>
      <c r="O1" s="754"/>
      <c r="P1" s="754"/>
      <c r="Q1" s="754"/>
      <c r="R1" s="754"/>
    </row>
    <row r="2" spans="1:19">
      <c r="A2" s="769"/>
      <c r="B2" s="164" t="s">
        <v>812</v>
      </c>
      <c r="C2" s="754"/>
      <c r="D2" s="754"/>
      <c r="E2" s="754"/>
      <c r="F2" s="754"/>
      <c r="M2" s="754"/>
      <c r="N2" s="754"/>
      <c r="O2" s="754"/>
      <c r="P2" s="754"/>
      <c r="Q2" s="754"/>
      <c r="R2" s="754"/>
    </row>
    <row r="3" spans="1:19">
      <c r="A3" s="769"/>
      <c r="B3" s="781" t="str">
        <f>"PERIOD ENDED DECEMBER 31, "&amp;TCOS!L4</f>
        <v>PERIOD ENDED DECEMBER 31, 2026</v>
      </c>
      <c r="C3" s="754"/>
      <c r="D3" s="754"/>
      <c r="E3" s="754"/>
      <c r="F3" s="754"/>
      <c r="G3" s="754"/>
      <c r="H3" s="754"/>
      <c r="I3" s="754"/>
      <c r="J3" s="754"/>
      <c r="K3" s="754"/>
      <c r="L3" s="754"/>
      <c r="M3" s="754"/>
      <c r="N3" s="754"/>
      <c r="O3" s="754"/>
      <c r="P3" s="754"/>
      <c r="Q3" s="754"/>
      <c r="R3" s="754"/>
      <c r="S3" s="754"/>
    </row>
    <row r="4" spans="1:19">
      <c r="A4" s="769"/>
      <c r="B4" s="754"/>
      <c r="C4" s="754"/>
      <c r="D4" s="754"/>
      <c r="E4" s="754"/>
      <c r="F4" s="754"/>
      <c r="G4" s="1" t="s">
        <v>690</v>
      </c>
      <c r="H4" s="1"/>
      <c r="I4" s="1"/>
      <c r="J4" s="1"/>
      <c r="K4" s="1"/>
      <c r="L4" s="1"/>
      <c r="M4" s="754"/>
      <c r="N4" s="754"/>
      <c r="O4" s="754"/>
      <c r="P4" s="754"/>
      <c r="Q4" s="754"/>
      <c r="R4" s="754"/>
      <c r="S4" s="754"/>
    </row>
    <row r="5" spans="1:19">
      <c r="A5" s="769"/>
      <c r="B5" s="754"/>
      <c r="C5" s="754"/>
      <c r="D5" s="754"/>
      <c r="E5" s="754"/>
      <c r="F5" s="754"/>
      <c r="G5" s="754"/>
      <c r="H5" s="754"/>
      <c r="I5" s="754"/>
      <c r="J5" s="754"/>
      <c r="K5" s="754"/>
      <c r="L5" s="754"/>
      <c r="M5" s="754"/>
      <c r="N5" s="754"/>
      <c r="O5" s="754"/>
      <c r="P5" s="754"/>
      <c r="Q5" s="754"/>
      <c r="R5" s="754"/>
      <c r="S5" s="754"/>
    </row>
    <row r="6" spans="1:19">
      <c r="A6" s="769"/>
      <c r="B6" s="754"/>
      <c r="C6" s="754"/>
      <c r="D6" s="754"/>
      <c r="E6" s="754"/>
      <c r="F6" s="754"/>
      <c r="G6" s="754"/>
      <c r="H6" s="754"/>
      <c r="I6" s="754"/>
      <c r="J6" s="754"/>
      <c r="K6" s="754"/>
      <c r="L6" s="754"/>
      <c r="M6" s="754"/>
      <c r="N6" s="754"/>
      <c r="O6" s="754"/>
      <c r="P6" s="754"/>
      <c r="Q6" s="754"/>
      <c r="R6" s="754"/>
      <c r="S6" s="754"/>
    </row>
    <row r="7" spans="1:19">
      <c r="A7" s="769"/>
      <c r="B7" s="754"/>
      <c r="C7" s="754"/>
      <c r="D7" s="754"/>
      <c r="E7" s="754"/>
      <c r="F7" s="754"/>
      <c r="G7" s="754"/>
      <c r="H7" s="754"/>
      <c r="I7" s="754"/>
      <c r="J7" s="754"/>
      <c r="K7" s="754"/>
      <c r="L7" s="754"/>
      <c r="M7" s="754"/>
      <c r="N7" s="754"/>
      <c r="O7" s="754"/>
      <c r="P7" s="754"/>
      <c r="Q7" s="754"/>
      <c r="R7" s="754"/>
      <c r="S7" s="754"/>
    </row>
    <row r="8" spans="1:19">
      <c r="A8" s="769"/>
      <c r="B8" s="755" t="s">
        <v>691</v>
      </c>
      <c r="C8" s="755" t="s">
        <v>692</v>
      </c>
      <c r="D8" s="755" t="s">
        <v>693</v>
      </c>
      <c r="E8" s="755" t="s">
        <v>694</v>
      </c>
      <c r="F8" s="755" t="s">
        <v>695</v>
      </c>
      <c r="G8" s="755" t="s">
        <v>696</v>
      </c>
      <c r="H8" s="755"/>
      <c r="I8" s="755" t="s">
        <v>697</v>
      </c>
      <c r="J8" s="755" t="s">
        <v>698</v>
      </c>
      <c r="K8" s="755" t="s">
        <v>699</v>
      </c>
      <c r="L8" s="755"/>
      <c r="M8" s="755" t="s">
        <v>700</v>
      </c>
      <c r="N8" s="755" t="s">
        <v>701</v>
      </c>
      <c r="O8" s="755" t="s">
        <v>702</v>
      </c>
      <c r="P8" s="754"/>
      <c r="Q8" s="755" t="s">
        <v>703</v>
      </c>
      <c r="R8" s="755" t="s">
        <v>704</v>
      </c>
      <c r="S8" s="755" t="s">
        <v>705</v>
      </c>
    </row>
    <row r="9" spans="1:19">
      <c r="A9" s="769"/>
      <c r="B9" s="754"/>
      <c r="C9" s="754"/>
      <c r="D9" s="754"/>
      <c r="E9" s="754"/>
      <c r="F9" s="754"/>
      <c r="G9" s="754"/>
      <c r="H9" s="754"/>
      <c r="I9" s="754"/>
      <c r="J9" s="754"/>
      <c r="K9" s="754"/>
      <c r="L9" s="754"/>
      <c r="M9" s="754"/>
      <c r="N9" s="754"/>
      <c r="O9" s="754"/>
      <c r="P9" s="754"/>
      <c r="Q9" s="754"/>
      <c r="R9" s="754"/>
      <c r="S9" s="754"/>
    </row>
    <row r="10" spans="1:19">
      <c r="A10" s="769"/>
      <c r="B10" s="754"/>
      <c r="C10" s="756" t="s">
        <v>706</v>
      </c>
      <c r="D10" s="756"/>
      <c r="E10" s="757" t="s">
        <v>707</v>
      </c>
      <c r="F10" s="756"/>
      <c r="G10" s="1" t="s">
        <v>708</v>
      </c>
      <c r="H10" s="1"/>
      <c r="I10" s="756" t="s">
        <v>709</v>
      </c>
      <c r="J10" s="756"/>
      <c r="K10" s="756"/>
      <c r="L10" s="1"/>
      <c r="M10" s="756" t="str">
        <f>"FUNCTIONALIZATION 12/31/"&amp;TCOS!L4-1</f>
        <v>FUNCTIONALIZATION 12/31/2025</v>
      </c>
      <c r="N10" s="756"/>
      <c r="O10" s="756"/>
      <c r="P10" s="754"/>
      <c r="Q10" s="756" t="str">
        <f>"FUNCTIONALIZATION 12/31/"&amp;TCOS!L4</f>
        <v>FUNCTIONALIZATION 12/31/2026</v>
      </c>
      <c r="R10" s="756"/>
      <c r="S10" s="756"/>
    </row>
    <row r="11" spans="1:19">
      <c r="A11" s="769"/>
      <c r="B11" s="754"/>
      <c r="C11" s="759"/>
      <c r="D11" s="759"/>
      <c r="E11" s="754"/>
      <c r="F11" s="754"/>
      <c r="G11" s="1" t="s">
        <v>710</v>
      </c>
      <c r="H11" s="1"/>
      <c r="I11" s="759"/>
      <c r="J11" s="759"/>
      <c r="K11" s="759"/>
      <c r="L11" s="1"/>
      <c r="M11" s="759"/>
      <c r="N11" s="759"/>
      <c r="O11" s="759"/>
      <c r="P11" s="754"/>
      <c r="Q11" s="759"/>
      <c r="R11" s="759"/>
      <c r="S11" s="759"/>
    </row>
    <row r="12" spans="1:19">
      <c r="A12" s="769"/>
      <c r="B12" s="754"/>
      <c r="C12" s="1" t="s">
        <v>711</v>
      </c>
      <c r="D12" s="1" t="s">
        <v>711</v>
      </c>
      <c r="E12" s="1" t="s">
        <v>711</v>
      </c>
      <c r="F12" s="1" t="s">
        <v>711</v>
      </c>
      <c r="G12" s="1" t="s">
        <v>712</v>
      </c>
      <c r="H12" s="1"/>
      <c r="I12" s="754"/>
      <c r="J12" s="754"/>
      <c r="K12" s="754"/>
      <c r="L12" s="1"/>
      <c r="M12" s="754"/>
      <c r="N12" s="754"/>
      <c r="O12" s="754"/>
      <c r="P12" s="754"/>
      <c r="Q12" s="754"/>
      <c r="R12" s="754"/>
      <c r="S12" s="754"/>
    </row>
    <row r="13" spans="1:19">
      <c r="A13" s="769"/>
      <c r="B13" s="755" t="s">
        <v>713</v>
      </c>
      <c r="C13" s="755" t="str">
        <f>"OF 12-31-"&amp;TCOS!L4-1</f>
        <v>OF 12-31-2025</v>
      </c>
      <c r="D13" s="755" t="str">
        <f>"OF 12-31-"&amp;TCOS!L4</f>
        <v>OF 12-31-2026</v>
      </c>
      <c r="E13" s="755" t="str">
        <f>"OF 12-31-"&amp;TCOS!L4-1</f>
        <v>OF 12-31-2025</v>
      </c>
      <c r="F13" s="755" t="str">
        <f>"OF 12-31-"&amp;TCOS!L4</f>
        <v>OF 12-31-2026</v>
      </c>
      <c r="G13" s="755" t="s">
        <v>714</v>
      </c>
      <c r="H13" s="755"/>
      <c r="I13" s="755" t="s">
        <v>715</v>
      </c>
      <c r="J13" s="755" t="s">
        <v>716</v>
      </c>
      <c r="K13" s="755" t="s">
        <v>717</v>
      </c>
      <c r="L13" s="755"/>
      <c r="M13" s="755" t="s">
        <v>715</v>
      </c>
      <c r="N13" s="755" t="s">
        <v>716</v>
      </c>
      <c r="O13" s="755" t="s">
        <v>717</v>
      </c>
      <c r="P13" s="754"/>
      <c r="Q13" s="755" t="s">
        <v>715</v>
      </c>
      <c r="R13" s="755" t="s">
        <v>716</v>
      </c>
      <c r="S13" s="755" t="s">
        <v>717</v>
      </c>
    </row>
    <row r="14" spans="1:19">
      <c r="A14" s="769"/>
      <c r="B14" s="754"/>
      <c r="C14" s="754"/>
      <c r="D14" s="754"/>
      <c r="E14" s="754"/>
      <c r="F14" s="754"/>
      <c r="G14" s="754"/>
      <c r="H14" s="754"/>
      <c r="I14" s="754"/>
      <c r="J14" s="754"/>
      <c r="K14" s="754"/>
      <c r="L14" s="754"/>
      <c r="M14" s="754"/>
      <c r="N14" s="754"/>
      <c r="O14" s="754"/>
      <c r="P14" s="754"/>
      <c r="Q14" s="754"/>
      <c r="R14" s="754"/>
      <c r="S14" s="754"/>
    </row>
    <row r="15" spans="1:19">
      <c r="A15" s="780">
        <v>1</v>
      </c>
      <c r="B15" s="604" t="s">
        <v>718</v>
      </c>
      <c r="C15" s="761"/>
      <c r="D15" s="761"/>
      <c r="E15" s="761"/>
      <c r="F15" s="762"/>
      <c r="G15" s="761"/>
      <c r="H15" s="761"/>
      <c r="I15" s="761"/>
      <c r="J15" s="761"/>
      <c r="K15" s="761"/>
      <c r="L15" s="761"/>
      <c r="M15" s="761"/>
      <c r="N15" s="761"/>
      <c r="O15" s="761"/>
      <c r="P15" s="761"/>
      <c r="Q15" s="761"/>
      <c r="R15" s="761"/>
      <c r="S15" s="761"/>
    </row>
    <row r="16" spans="1:19">
      <c r="A16" s="780">
        <v>2.0099999999999998</v>
      </c>
      <c r="B16" s="604"/>
      <c r="C16" s="761"/>
      <c r="D16" s="761"/>
      <c r="E16" s="761"/>
      <c r="F16" s="761"/>
      <c r="G16" s="761"/>
      <c r="H16" s="761"/>
      <c r="I16" s="761"/>
      <c r="J16" s="761"/>
      <c r="K16" s="761"/>
      <c r="L16" s="761"/>
      <c r="M16" s="761"/>
      <c r="N16" s="761"/>
      <c r="O16" s="761"/>
      <c r="P16" s="761"/>
      <c r="Q16" s="761"/>
      <c r="R16" s="761"/>
      <c r="S16" s="761"/>
    </row>
    <row r="17" spans="1:19">
      <c r="A17" s="780">
        <v>2.02</v>
      </c>
      <c r="B17" s="604"/>
      <c r="C17" s="761">
        <f>SUM(M17:O17)</f>
        <v>0</v>
      </c>
      <c r="D17" s="761">
        <f>SUM(Q17:S17)</f>
        <v>0</v>
      </c>
      <c r="E17" s="761"/>
      <c r="F17" s="761"/>
      <c r="G17" s="761">
        <f>ROUND(SUM(C17:F17)/2,0)</f>
        <v>0</v>
      </c>
      <c r="H17" s="761"/>
      <c r="I17" s="761">
        <f>(M17+Q17)/2</f>
        <v>0</v>
      </c>
      <c r="J17" s="761">
        <f>(N17+R17)/2</f>
        <v>0</v>
      </c>
      <c r="K17" s="761">
        <f>(O17+S17)/2</f>
        <v>0</v>
      </c>
      <c r="L17" s="761"/>
      <c r="M17" s="604"/>
      <c r="N17" s="604"/>
      <c r="O17" s="604"/>
      <c r="P17" s="761"/>
      <c r="Q17" s="604"/>
      <c r="R17" s="604"/>
      <c r="S17" s="604"/>
    </row>
    <row r="18" spans="1:19">
      <c r="A18" s="780">
        <v>2.0299999999999998</v>
      </c>
      <c r="B18" s="604"/>
      <c r="C18" s="761"/>
      <c r="D18" s="761"/>
      <c r="E18" s="761"/>
      <c r="F18" s="761"/>
      <c r="G18" s="761"/>
      <c r="H18" s="761"/>
      <c r="I18" s="761"/>
      <c r="J18" s="761"/>
      <c r="K18" s="761"/>
      <c r="L18" s="761"/>
      <c r="M18" s="761"/>
      <c r="N18" s="761"/>
      <c r="O18" s="761"/>
      <c r="P18" s="761"/>
      <c r="Q18" s="761"/>
      <c r="R18" s="761"/>
      <c r="S18" s="761"/>
    </row>
    <row r="19" spans="1:19">
      <c r="A19" s="780">
        <v>2.04</v>
      </c>
      <c r="B19" s="604"/>
      <c r="C19" s="761">
        <v>0</v>
      </c>
      <c r="D19" s="761">
        <v>0</v>
      </c>
      <c r="E19" s="761">
        <f t="shared" ref="E19:F21" si="0">-C19</f>
        <v>0</v>
      </c>
      <c r="F19" s="761">
        <f t="shared" si="0"/>
        <v>0</v>
      </c>
      <c r="G19" s="761">
        <f>ROUND(SUM(C19:F19)/2,0)</f>
        <v>0</v>
      </c>
      <c r="H19" s="761"/>
      <c r="I19" s="761"/>
      <c r="J19" s="761"/>
      <c r="K19" s="761"/>
      <c r="L19" s="761"/>
      <c r="M19" s="761"/>
      <c r="N19" s="761"/>
      <c r="O19" s="761"/>
      <c r="P19" s="761"/>
      <c r="Q19" s="761"/>
      <c r="R19" s="761"/>
      <c r="S19" s="761"/>
    </row>
    <row r="20" spans="1:19">
      <c r="A20" s="780">
        <v>2.0499999999999998</v>
      </c>
      <c r="B20" s="604"/>
      <c r="C20" s="761">
        <v>0</v>
      </c>
      <c r="D20" s="761">
        <v>0</v>
      </c>
      <c r="E20" s="761">
        <f t="shared" si="0"/>
        <v>0</v>
      </c>
      <c r="F20" s="761">
        <f t="shared" si="0"/>
        <v>0</v>
      </c>
      <c r="G20" s="761">
        <f>ROUND(SUM(C20:F20)/2,0)</f>
        <v>0</v>
      </c>
      <c r="H20" s="761"/>
      <c r="I20" s="761"/>
      <c r="J20" s="761"/>
      <c r="K20" s="761"/>
      <c r="L20" s="761"/>
      <c r="M20" s="761"/>
      <c r="N20" s="761"/>
      <c r="O20" s="761"/>
      <c r="P20" s="761"/>
      <c r="Q20" s="761"/>
      <c r="R20" s="761"/>
      <c r="S20" s="761"/>
    </row>
    <row r="21" spans="1:19">
      <c r="A21" s="780">
        <v>2.06</v>
      </c>
      <c r="B21" s="604"/>
      <c r="C21" s="761">
        <v>0</v>
      </c>
      <c r="D21" s="761">
        <v>0</v>
      </c>
      <c r="E21" s="761">
        <f t="shared" si="0"/>
        <v>0</v>
      </c>
      <c r="F21" s="761">
        <f t="shared" si="0"/>
        <v>0</v>
      </c>
      <c r="G21" s="761">
        <f>ROUND(SUM(C21:F21)/2,0)</f>
        <v>0</v>
      </c>
      <c r="H21" s="761"/>
      <c r="I21" s="761"/>
      <c r="J21" s="761"/>
      <c r="K21" s="761"/>
      <c r="L21" s="761"/>
      <c r="M21" s="761"/>
      <c r="N21" s="761"/>
      <c r="O21" s="761"/>
      <c r="P21" s="761"/>
      <c r="Q21" s="761"/>
      <c r="R21" s="761"/>
      <c r="S21" s="761"/>
    </row>
    <row r="22" spans="1:19">
      <c r="A22" s="776"/>
      <c r="B22" s="754"/>
      <c r="C22" s="761"/>
      <c r="D22" s="761"/>
      <c r="E22" s="761"/>
      <c r="F22" s="761"/>
      <c r="G22" s="761"/>
      <c r="H22" s="761"/>
      <c r="I22" s="761"/>
      <c r="J22" s="761"/>
      <c r="K22" s="761"/>
      <c r="L22" s="761"/>
      <c r="M22" s="761"/>
      <c r="N22" s="761"/>
      <c r="O22" s="761"/>
      <c r="P22" s="761"/>
      <c r="Q22" s="761"/>
      <c r="R22" s="761"/>
      <c r="S22" s="761"/>
    </row>
    <row r="23" spans="1:19" ht="13.5" thickBot="1">
      <c r="A23" s="770">
        <v>3</v>
      </c>
      <c r="B23" t="s">
        <v>719</v>
      </c>
      <c r="C23" s="764">
        <f>SUM(C17:C22)</f>
        <v>0</v>
      </c>
      <c r="D23" s="764">
        <f>SUM(D17:D22)</f>
        <v>0</v>
      </c>
      <c r="E23" s="764">
        <f>SUM(E17:E22)</f>
        <v>0</v>
      </c>
      <c r="F23" s="764">
        <f>SUM(F17:F22)</f>
        <v>0</v>
      </c>
      <c r="G23" s="764">
        <f>SUM(G17:G22)</f>
        <v>0</v>
      </c>
      <c r="H23" s="761"/>
      <c r="I23" s="764">
        <f>SUM(I17:I22)</f>
        <v>0</v>
      </c>
      <c r="J23" s="764">
        <f>SUM(J17:J22)</f>
        <v>0</v>
      </c>
      <c r="K23" s="764">
        <f>SUM(K17:K22)</f>
        <v>0</v>
      </c>
      <c r="L23" s="761"/>
      <c r="M23" s="764">
        <f>SUM(M17:M22)</f>
        <v>0</v>
      </c>
      <c r="N23" s="764">
        <f>SUM(N17:N22)</f>
        <v>0</v>
      </c>
      <c r="O23" s="764">
        <f>SUM(O17:O22)</f>
        <v>0</v>
      </c>
      <c r="P23" s="761"/>
      <c r="Q23" s="764">
        <f>SUM(Q17:Q22)</f>
        <v>0</v>
      </c>
      <c r="R23" s="764">
        <f>SUM(R17:R22)</f>
        <v>0</v>
      </c>
      <c r="S23" s="764">
        <f>SUM(S17:S22)</f>
        <v>0</v>
      </c>
    </row>
    <row r="24" spans="1:19" ht="13.5" thickTop="1">
      <c r="A24" s="770">
        <f>A23+1</f>
        <v>4</v>
      </c>
      <c r="B24" s="18" t="s">
        <v>737</v>
      </c>
      <c r="C24" s="773">
        <v>0</v>
      </c>
      <c r="D24" s="773">
        <v>0</v>
      </c>
      <c r="E24" s="773">
        <v>0</v>
      </c>
      <c r="F24" s="773">
        <v>0</v>
      </c>
      <c r="G24" s="773">
        <v>0</v>
      </c>
      <c r="H24" s="774"/>
      <c r="I24" s="773">
        <v>0</v>
      </c>
      <c r="J24" s="773">
        <v>0</v>
      </c>
      <c r="K24" s="773">
        <v>0</v>
      </c>
      <c r="L24" s="774"/>
      <c r="M24" s="773">
        <v>0</v>
      </c>
      <c r="N24" s="773">
        <v>0</v>
      </c>
      <c r="O24" s="773">
        <v>0</v>
      </c>
      <c r="P24" s="774"/>
      <c r="Q24" s="773">
        <v>0</v>
      </c>
      <c r="R24" s="773">
        <v>0</v>
      </c>
      <c r="S24" s="773">
        <v>0</v>
      </c>
    </row>
    <row r="25" spans="1:19">
      <c r="A25" s="770"/>
      <c r="B25" s="754"/>
      <c r="C25" s="761"/>
      <c r="D25" s="761"/>
      <c r="E25" s="761"/>
      <c r="F25" s="761"/>
      <c r="G25" s="761"/>
      <c r="H25" s="761"/>
      <c r="I25" s="761"/>
      <c r="J25" s="761"/>
      <c r="K25" s="761"/>
      <c r="L25" s="761"/>
      <c r="M25" s="761"/>
      <c r="N25" s="761"/>
      <c r="O25" s="761"/>
      <c r="P25" s="761"/>
      <c r="Q25" s="761"/>
      <c r="R25" s="761"/>
      <c r="S25" s="761"/>
    </row>
    <row r="26" spans="1:19">
      <c r="A26" s="770">
        <v>5</v>
      </c>
      <c r="B26" t="s">
        <v>720</v>
      </c>
      <c r="C26" s="761"/>
      <c r="D26" s="761"/>
      <c r="E26" s="761"/>
      <c r="F26" s="761"/>
      <c r="G26" s="761"/>
      <c r="H26" s="761"/>
      <c r="I26" s="761"/>
      <c r="J26" s="761"/>
      <c r="K26" s="761"/>
      <c r="L26" s="761"/>
      <c r="M26" s="761"/>
      <c r="N26" s="761"/>
      <c r="O26" s="761"/>
      <c r="P26" s="761"/>
      <c r="Q26" s="761"/>
      <c r="R26" s="761"/>
      <c r="S26" s="761"/>
    </row>
    <row r="27" spans="1:19">
      <c r="A27" s="777"/>
      <c r="B27" s="754"/>
      <c r="C27" s="761"/>
      <c r="D27" s="761"/>
      <c r="E27" s="761"/>
      <c r="F27" s="761"/>
      <c r="G27" s="761"/>
      <c r="H27" s="761"/>
      <c r="I27" s="761"/>
      <c r="J27" s="761"/>
      <c r="K27" s="761"/>
      <c r="L27" s="761"/>
      <c r="M27" s="761"/>
      <c r="N27" s="761"/>
      <c r="O27" s="761"/>
      <c r="P27" s="761"/>
      <c r="Q27" s="761"/>
      <c r="R27" s="761"/>
      <c r="S27" s="761"/>
    </row>
    <row r="28" spans="1:19">
      <c r="A28" s="780">
        <v>5.01</v>
      </c>
      <c r="B28" s="604"/>
      <c r="C28" s="761">
        <f t="shared" ref="C28:C64" si="1">SUM(M28:O28)</f>
        <v>0</v>
      </c>
      <c r="D28" s="761">
        <f t="shared" ref="D28:D64" si="2">SUM(Q28:S28)</f>
        <v>0</v>
      </c>
      <c r="E28" s="761"/>
      <c r="F28" s="761"/>
      <c r="G28" s="761">
        <f t="shared" ref="G28:G50" si="3">ROUND(SUM(C28:F28)/2,0)</f>
        <v>0</v>
      </c>
      <c r="H28" s="761"/>
      <c r="I28" s="761">
        <f t="shared" ref="I28:K65" si="4">(M28+Q28)/2</f>
        <v>0</v>
      </c>
      <c r="J28" s="761">
        <f t="shared" si="4"/>
        <v>0</v>
      </c>
      <c r="K28" s="761">
        <f t="shared" si="4"/>
        <v>0</v>
      </c>
      <c r="L28" s="761"/>
      <c r="M28" s="604"/>
      <c r="N28" s="604"/>
      <c r="O28" s="604"/>
      <c r="P28" s="761"/>
      <c r="Q28" s="604"/>
      <c r="R28" s="604"/>
      <c r="S28" s="604"/>
    </row>
    <row r="29" spans="1:19">
      <c r="A29" s="780">
        <f>A28+0.01</f>
        <v>5.0199999999999996</v>
      </c>
      <c r="B29" s="604"/>
      <c r="C29" s="761">
        <f>SUM(M29:O29)</f>
        <v>0</v>
      </c>
      <c r="D29" s="761">
        <f>SUM(Q29:S29)</f>
        <v>0</v>
      </c>
      <c r="E29" s="761"/>
      <c r="F29" s="761"/>
      <c r="G29" s="761">
        <f t="shared" si="3"/>
        <v>0</v>
      </c>
      <c r="H29" s="761"/>
      <c r="I29" s="761">
        <f t="shared" si="4"/>
        <v>0</v>
      </c>
      <c r="J29" s="761">
        <f t="shared" si="4"/>
        <v>0</v>
      </c>
      <c r="K29" s="761">
        <f t="shared" si="4"/>
        <v>0</v>
      </c>
      <c r="L29" s="761"/>
      <c r="M29" s="604"/>
      <c r="N29" s="604"/>
      <c r="O29" s="604"/>
      <c r="P29" s="761"/>
      <c r="Q29" s="604"/>
      <c r="R29" s="604"/>
      <c r="S29" s="604"/>
    </row>
    <row r="30" spans="1:19">
      <c r="A30" s="780">
        <f t="shared" ref="A30:A68" si="5">A29+0.01</f>
        <v>5.0299999999999994</v>
      </c>
      <c r="B30" s="604"/>
      <c r="C30" s="761">
        <f t="shared" si="1"/>
        <v>0</v>
      </c>
      <c r="D30" s="761">
        <f t="shared" si="2"/>
        <v>0</v>
      </c>
      <c r="E30" s="761"/>
      <c r="F30" s="761"/>
      <c r="G30" s="761">
        <f t="shared" si="3"/>
        <v>0</v>
      </c>
      <c r="H30" s="761"/>
      <c r="I30" s="761">
        <f t="shared" si="4"/>
        <v>0</v>
      </c>
      <c r="J30" s="761">
        <f t="shared" si="4"/>
        <v>0</v>
      </c>
      <c r="K30" s="761">
        <f t="shared" si="4"/>
        <v>0</v>
      </c>
      <c r="L30" s="761"/>
      <c r="M30" s="807"/>
      <c r="N30" s="807"/>
      <c r="O30" s="604"/>
      <c r="P30" s="761"/>
      <c r="Q30" s="807"/>
      <c r="R30" s="807"/>
      <c r="S30" s="604"/>
    </row>
    <row r="31" spans="1:19">
      <c r="A31" s="780">
        <f t="shared" si="5"/>
        <v>5.0399999999999991</v>
      </c>
      <c r="B31" s="604"/>
      <c r="C31" s="761">
        <f>SUM(M31:O31)</f>
        <v>0</v>
      </c>
      <c r="D31" s="761">
        <f>SUM(Q31:S31)</f>
        <v>0</v>
      </c>
      <c r="E31" s="761"/>
      <c r="F31" s="761"/>
      <c r="G31" s="761">
        <f t="shared" si="3"/>
        <v>0</v>
      </c>
      <c r="H31" s="761"/>
      <c r="I31" s="761">
        <f t="shared" si="4"/>
        <v>0</v>
      </c>
      <c r="J31" s="761">
        <f t="shared" si="4"/>
        <v>0</v>
      </c>
      <c r="K31" s="761">
        <f t="shared" si="4"/>
        <v>0</v>
      </c>
      <c r="L31" s="761"/>
      <c r="M31" s="604"/>
      <c r="N31" s="604"/>
      <c r="O31" s="604"/>
      <c r="P31" s="761"/>
      <c r="Q31" s="604"/>
      <c r="R31" s="604"/>
      <c r="S31" s="604"/>
    </row>
    <row r="32" spans="1:19">
      <c r="A32" s="780">
        <f t="shared" si="5"/>
        <v>5.0499999999999989</v>
      </c>
      <c r="B32" s="604"/>
      <c r="C32" s="761">
        <f t="shared" si="1"/>
        <v>0</v>
      </c>
      <c r="D32" s="761">
        <f t="shared" si="2"/>
        <v>0</v>
      </c>
      <c r="E32" s="761"/>
      <c r="F32" s="761"/>
      <c r="G32" s="761">
        <f t="shared" si="3"/>
        <v>0</v>
      </c>
      <c r="H32" s="761"/>
      <c r="I32" s="761">
        <f t="shared" si="4"/>
        <v>0</v>
      </c>
      <c r="J32" s="761">
        <f t="shared" si="4"/>
        <v>0</v>
      </c>
      <c r="K32" s="761">
        <f t="shared" si="4"/>
        <v>0</v>
      </c>
      <c r="L32" s="761"/>
      <c r="M32" s="604"/>
      <c r="N32" s="604"/>
      <c r="O32" s="604"/>
      <c r="P32" s="761"/>
      <c r="Q32" s="604"/>
      <c r="R32" s="604"/>
      <c r="S32" s="604"/>
    </row>
    <row r="33" spans="1:19">
      <c r="A33" s="780">
        <f t="shared" si="5"/>
        <v>5.0599999999999987</v>
      </c>
      <c r="B33" s="604"/>
      <c r="C33" s="761">
        <f t="shared" ref="C33:C39" si="6">SUM(M33:O33)</f>
        <v>0</v>
      </c>
      <c r="D33" s="761">
        <f t="shared" ref="D33:D39" si="7">SUM(Q33:S33)</f>
        <v>0</v>
      </c>
      <c r="E33" s="761"/>
      <c r="F33" s="761"/>
      <c r="G33" s="761">
        <f t="shared" si="3"/>
        <v>0</v>
      </c>
      <c r="H33" s="761"/>
      <c r="I33" s="761">
        <f t="shared" si="4"/>
        <v>0</v>
      </c>
      <c r="J33" s="761">
        <f t="shared" si="4"/>
        <v>0</v>
      </c>
      <c r="K33" s="761">
        <f t="shared" si="4"/>
        <v>0</v>
      </c>
      <c r="L33" s="761"/>
      <c r="M33" s="604"/>
      <c r="N33" s="604"/>
      <c r="O33" s="604"/>
      <c r="P33" s="761"/>
      <c r="Q33" s="604"/>
      <c r="R33" s="604"/>
      <c r="S33" s="604"/>
    </row>
    <row r="34" spans="1:19">
      <c r="A34" s="780">
        <f t="shared" si="5"/>
        <v>5.0699999999999985</v>
      </c>
      <c r="B34" s="604"/>
      <c r="C34" s="766">
        <f t="shared" si="6"/>
        <v>0</v>
      </c>
      <c r="D34" s="766">
        <f t="shared" si="7"/>
        <v>0</v>
      </c>
      <c r="E34" s="766"/>
      <c r="F34" s="766"/>
      <c r="G34" s="766">
        <f t="shared" si="3"/>
        <v>0</v>
      </c>
      <c r="H34" s="766"/>
      <c r="I34" s="766">
        <f t="shared" si="4"/>
        <v>0</v>
      </c>
      <c r="J34" s="766">
        <f t="shared" si="4"/>
        <v>0</v>
      </c>
      <c r="K34" s="766">
        <f t="shared" si="4"/>
        <v>0</v>
      </c>
      <c r="L34" s="766"/>
      <c r="M34" s="604"/>
      <c r="N34" s="807"/>
      <c r="O34" s="604"/>
      <c r="P34" s="761"/>
      <c r="Q34" s="807"/>
      <c r="R34" s="807"/>
      <c r="S34" s="604"/>
    </row>
    <row r="35" spans="1:19">
      <c r="A35" s="780">
        <f t="shared" si="5"/>
        <v>5.0799999999999983</v>
      </c>
      <c r="B35" s="604"/>
      <c r="C35" s="766">
        <f t="shared" si="6"/>
        <v>0</v>
      </c>
      <c r="D35" s="766">
        <f t="shared" si="7"/>
        <v>0</v>
      </c>
      <c r="E35" s="766"/>
      <c r="F35" s="766"/>
      <c r="G35" s="766">
        <f t="shared" si="3"/>
        <v>0</v>
      </c>
      <c r="H35" s="766"/>
      <c r="I35" s="766">
        <f t="shared" si="4"/>
        <v>0</v>
      </c>
      <c r="J35" s="766">
        <f t="shared" si="4"/>
        <v>0</v>
      </c>
      <c r="K35" s="766">
        <f t="shared" si="4"/>
        <v>0</v>
      </c>
      <c r="L35" s="766"/>
      <c r="M35" s="604"/>
      <c r="N35" s="604"/>
      <c r="O35" s="604"/>
      <c r="P35" s="766"/>
      <c r="Q35" s="604"/>
      <c r="R35" s="604"/>
      <c r="S35" s="604"/>
    </row>
    <row r="36" spans="1:19">
      <c r="A36" s="780">
        <f t="shared" si="5"/>
        <v>5.0899999999999981</v>
      </c>
      <c r="B36" s="604"/>
      <c r="C36" s="761">
        <f>SUM(M36:O36)</f>
        <v>0</v>
      </c>
      <c r="D36" s="761">
        <f t="shared" si="7"/>
        <v>0</v>
      </c>
      <c r="E36" s="761"/>
      <c r="F36" s="761"/>
      <c r="G36" s="761">
        <f>ROUND(SUM(C36:F36)/2,0)</f>
        <v>0</v>
      </c>
      <c r="H36" s="761"/>
      <c r="I36" s="761">
        <f t="shared" si="4"/>
        <v>0</v>
      </c>
      <c r="J36" s="761">
        <f t="shared" si="4"/>
        <v>0</v>
      </c>
      <c r="K36" s="761">
        <f t="shared" si="4"/>
        <v>0</v>
      </c>
      <c r="L36" s="761"/>
      <c r="M36" s="604"/>
      <c r="N36" s="604"/>
      <c r="O36" s="604"/>
      <c r="P36" s="761"/>
      <c r="Q36" s="604"/>
      <c r="R36" s="604"/>
      <c r="S36" s="604"/>
    </row>
    <row r="37" spans="1:19">
      <c r="A37" s="780">
        <f t="shared" si="5"/>
        <v>5.0999999999999979</v>
      </c>
      <c r="B37" s="604"/>
      <c r="C37" s="761">
        <f t="shared" si="6"/>
        <v>0</v>
      </c>
      <c r="D37" s="761">
        <f t="shared" si="7"/>
        <v>0</v>
      </c>
      <c r="E37" s="761"/>
      <c r="F37" s="761"/>
      <c r="G37" s="761">
        <f t="shared" si="3"/>
        <v>0</v>
      </c>
      <c r="H37" s="761"/>
      <c r="I37" s="761">
        <f t="shared" si="4"/>
        <v>0</v>
      </c>
      <c r="J37" s="761">
        <f t="shared" si="4"/>
        <v>0</v>
      </c>
      <c r="K37" s="761">
        <f t="shared" si="4"/>
        <v>0</v>
      </c>
      <c r="L37" s="761"/>
      <c r="M37" s="604"/>
      <c r="N37" s="604"/>
      <c r="O37" s="604"/>
      <c r="P37" s="761"/>
      <c r="Q37" s="604"/>
      <c r="R37" s="604"/>
      <c r="S37" s="604"/>
    </row>
    <row r="38" spans="1:19" hidden="1">
      <c r="A38" s="780">
        <f t="shared" si="5"/>
        <v>5.1099999999999977</v>
      </c>
      <c r="B38" s="604"/>
      <c r="C38" s="761">
        <f t="shared" si="6"/>
        <v>0</v>
      </c>
      <c r="D38" s="761">
        <f t="shared" si="7"/>
        <v>0</v>
      </c>
      <c r="E38" s="761"/>
      <c r="F38" s="761"/>
      <c r="G38" s="761">
        <f t="shared" si="3"/>
        <v>0</v>
      </c>
      <c r="H38" s="761"/>
      <c r="I38" s="761">
        <f t="shared" si="4"/>
        <v>0</v>
      </c>
      <c r="J38" s="761">
        <f t="shared" si="4"/>
        <v>0</v>
      </c>
      <c r="K38" s="761">
        <f t="shared" si="4"/>
        <v>0</v>
      </c>
      <c r="L38" s="761"/>
      <c r="M38" s="604"/>
      <c r="N38" s="604"/>
      <c r="O38" s="604"/>
      <c r="P38" s="761"/>
      <c r="Q38" s="604"/>
      <c r="R38" s="604"/>
      <c r="S38" s="604"/>
    </row>
    <row r="39" spans="1:19" hidden="1">
      <c r="A39" s="780">
        <f t="shared" si="5"/>
        <v>5.1199999999999974</v>
      </c>
      <c r="B39" s="604"/>
      <c r="C39" s="761">
        <f t="shared" si="6"/>
        <v>0</v>
      </c>
      <c r="D39" s="761">
        <f t="shared" si="7"/>
        <v>0</v>
      </c>
      <c r="E39" s="761"/>
      <c r="F39" s="761"/>
      <c r="G39" s="761">
        <f t="shared" si="3"/>
        <v>0</v>
      </c>
      <c r="H39" s="761"/>
      <c r="I39" s="761">
        <f t="shared" si="4"/>
        <v>0</v>
      </c>
      <c r="J39" s="761">
        <f t="shared" si="4"/>
        <v>0</v>
      </c>
      <c r="K39" s="761">
        <f t="shared" si="4"/>
        <v>0</v>
      </c>
      <c r="L39" s="761"/>
      <c r="M39" s="604"/>
      <c r="N39" s="604"/>
      <c r="O39" s="604"/>
      <c r="P39" s="761"/>
      <c r="Q39" s="604"/>
      <c r="R39" s="604"/>
      <c r="S39" s="604"/>
    </row>
    <row r="40" spans="1:19" hidden="1">
      <c r="A40" s="780">
        <f t="shared" si="5"/>
        <v>5.1299999999999972</v>
      </c>
      <c r="B40" s="604"/>
      <c r="C40" s="761">
        <f t="shared" si="1"/>
        <v>0</v>
      </c>
      <c r="D40" s="761">
        <f t="shared" si="2"/>
        <v>0</v>
      </c>
      <c r="E40" s="761"/>
      <c r="F40" s="761"/>
      <c r="G40" s="761">
        <f t="shared" si="3"/>
        <v>0</v>
      </c>
      <c r="H40" s="761"/>
      <c r="I40" s="761">
        <f t="shared" si="4"/>
        <v>0</v>
      </c>
      <c r="J40" s="761">
        <f t="shared" si="4"/>
        <v>0</v>
      </c>
      <c r="K40" s="761">
        <f t="shared" si="4"/>
        <v>0</v>
      </c>
      <c r="L40" s="761"/>
      <c r="M40" s="604"/>
      <c r="N40" s="604"/>
      <c r="O40" s="604"/>
      <c r="P40" s="761"/>
      <c r="Q40" s="604"/>
      <c r="R40" s="604"/>
      <c r="S40" s="604"/>
    </row>
    <row r="41" spans="1:19" hidden="1">
      <c r="A41" s="780">
        <f t="shared" si="5"/>
        <v>5.139999999999997</v>
      </c>
      <c r="B41" s="604"/>
      <c r="C41" s="761">
        <f t="shared" si="1"/>
        <v>0</v>
      </c>
      <c r="D41" s="761">
        <f t="shared" si="2"/>
        <v>0</v>
      </c>
      <c r="E41" s="761"/>
      <c r="F41" s="761"/>
      <c r="G41" s="761">
        <f t="shared" si="3"/>
        <v>0</v>
      </c>
      <c r="H41" s="761"/>
      <c r="I41" s="761">
        <f t="shared" si="4"/>
        <v>0</v>
      </c>
      <c r="J41" s="761">
        <f t="shared" si="4"/>
        <v>0</v>
      </c>
      <c r="K41" s="761">
        <f t="shared" si="4"/>
        <v>0</v>
      </c>
      <c r="L41" s="761"/>
      <c r="M41" s="604"/>
      <c r="N41" s="604"/>
      <c r="O41" s="604"/>
      <c r="P41" s="761"/>
      <c r="Q41" s="604"/>
      <c r="R41" s="604"/>
      <c r="S41" s="604"/>
    </row>
    <row r="42" spans="1:19" hidden="1">
      <c r="A42" s="780">
        <f t="shared" si="5"/>
        <v>5.1499999999999968</v>
      </c>
      <c r="B42" s="604"/>
      <c r="C42" s="761">
        <f t="shared" si="1"/>
        <v>0</v>
      </c>
      <c r="D42" s="761">
        <f t="shared" si="2"/>
        <v>0</v>
      </c>
      <c r="E42" s="761"/>
      <c r="F42" s="761"/>
      <c r="G42" s="761">
        <f t="shared" si="3"/>
        <v>0</v>
      </c>
      <c r="H42" s="761"/>
      <c r="I42" s="761">
        <f t="shared" si="4"/>
        <v>0</v>
      </c>
      <c r="J42" s="761">
        <f t="shared" si="4"/>
        <v>0</v>
      </c>
      <c r="K42" s="761">
        <f t="shared" si="4"/>
        <v>0</v>
      </c>
      <c r="L42" s="761"/>
      <c r="M42" s="604"/>
      <c r="N42" s="604"/>
      <c r="O42" s="604"/>
      <c r="P42" s="761"/>
      <c r="Q42" s="604"/>
      <c r="R42" s="604"/>
      <c r="S42" s="604"/>
    </row>
    <row r="43" spans="1:19" hidden="1">
      <c r="A43" s="780">
        <f t="shared" si="5"/>
        <v>5.1599999999999966</v>
      </c>
      <c r="B43" s="604"/>
      <c r="C43" s="761">
        <f t="shared" si="1"/>
        <v>0</v>
      </c>
      <c r="D43" s="761">
        <f t="shared" si="2"/>
        <v>0</v>
      </c>
      <c r="E43" s="761"/>
      <c r="F43" s="761"/>
      <c r="G43" s="761">
        <f t="shared" si="3"/>
        <v>0</v>
      </c>
      <c r="H43" s="761"/>
      <c r="I43" s="761">
        <f t="shared" si="4"/>
        <v>0</v>
      </c>
      <c r="J43" s="761">
        <f t="shared" si="4"/>
        <v>0</v>
      </c>
      <c r="K43" s="761">
        <f t="shared" si="4"/>
        <v>0</v>
      </c>
      <c r="L43" s="761"/>
      <c r="M43" s="604"/>
      <c r="N43" s="604"/>
      <c r="O43" s="604"/>
      <c r="P43" s="761"/>
      <c r="Q43" s="604"/>
      <c r="R43" s="604"/>
      <c r="S43" s="604"/>
    </row>
    <row r="44" spans="1:19" hidden="1">
      <c r="A44" s="780">
        <f t="shared" si="5"/>
        <v>5.1699999999999964</v>
      </c>
      <c r="B44" s="604"/>
      <c r="C44" s="761">
        <f t="shared" si="1"/>
        <v>0</v>
      </c>
      <c r="D44" s="761">
        <f t="shared" si="2"/>
        <v>0</v>
      </c>
      <c r="E44" s="761"/>
      <c r="F44" s="761"/>
      <c r="G44" s="761">
        <f t="shared" si="3"/>
        <v>0</v>
      </c>
      <c r="H44" s="761"/>
      <c r="I44" s="761">
        <f t="shared" si="4"/>
        <v>0</v>
      </c>
      <c r="J44" s="761">
        <f t="shared" si="4"/>
        <v>0</v>
      </c>
      <c r="K44" s="761">
        <f t="shared" si="4"/>
        <v>0</v>
      </c>
      <c r="L44" s="761"/>
      <c r="M44" s="604"/>
      <c r="N44" s="604"/>
      <c r="O44" s="604"/>
      <c r="P44" s="761"/>
      <c r="Q44" s="604"/>
      <c r="R44" s="604"/>
      <c r="S44" s="604"/>
    </row>
    <row r="45" spans="1:19" hidden="1">
      <c r="A45" s="780">
        <f t="shared" si="5"/>
        <v>5.1799999999999962</v>
      </c>
      <c r="B45" s="604"/>
      <c r="C45" s="761">
        <f t="shared" si="1"/>
        <v>0</v>
      </c>
      <c r="D45" s="761">
        <f t="shared" si="2"/>
        <v>0</v>
      </c>
      <c r="E45" s="761"/>
      <c r="F45" s="761"/>
      <c r="G45" s="761">
        <f t="shared" si="3"/>
        <v>0</v>
      </c>
      <c r="H45" s="761"/>
      <c r="I45" s="761">
        <f t="shared" si="4"/>
        <v>0</v>
      </c>
      <c r="J45" s="761">
        <f t="shared" si="4"/>
        <v>0</v>
      </c>
      <c r="K45" s="761">
        <f t="shared" si="4"/>
        <v>0</v>
      </c>
      <c r="L45" s="761"/>
      <c r="M45" s="604"/>
      <c r="N45" s="604"/>
      <c r="O45" s="604"/>
      <c r="P45" s="761"/>
      <c r="Q45" s="604"/>
      <c r="R45" s="604"/>
      <c r="S45" s="604"/>
    </row>
    <row r="46" spans="1:19" hidden="1">
      <c r="A46" s="780">
        <f t="shared" si="5"/>
        <v>5.1899999999999959</v>
      </c>
      <c r="B46" s="604"/>
      <c r="C46" s="761">
        <f t="shared" si="1"/>
        <v>0</v>
      </c>
      <c r="D46" s="761">
        <f t="shared" si="2"/>
        <v>0</v>
      </c>
      <c r="E46" s="761"/>
      <c r="F46" s="761"/>
      <c r="G46" s="761">
        <f t="shared" si="3"/>
        <v>0</v>
      </c>
      <c r="H46" s="761"/>
      <c r="I46" s="761">
        <f t="shared" si="4"/>
        <v>0</v>
      </c>
      <c r="J46" s="761">
        <f t="shared" si="4"/>
        <v>0</v>
      </c>
      <c r="K46" s="761">
        <f t="shared" si="4"/>
        <v>0</v>
      </c>
      <c r="L46" s="761"/>
      <c r="M46" s="604"/>
      <c r="N46" s="604"/>
      <c r="O46" s="604"/>
      <c r="P46" s="761"/>
      <c r="Q46" s="604"/>
      <c r="R46" s="604"/>
      <c r="S46" s="604"/>
    </row>
    <row r="47" spans="1:19" hidden="1">
      <c r="A47" s="780">
        <f t="shared" si="5"/>
        <v>5.1999999999999957</v>
      </c>
      <c r="B47" s="604"/>
      <c r="C47" s="761">
        <f t="shared" si="1"/>
        <v>0</v>
      </c>
      <c r="D47" s="761">
        <f t="shared" si="2"/>
        <v>0</v>
      </c>
      <c r="E47" s="761"/>
      <c r="F47" s="761"/>
      <c r="G47" s="761">
        <f t="shared" si="3"/>
        <v>0</v>
      </c>
      <c r="H47" s="761"/>
      <c r="I47" s="761">
        <f t="shared" si="4"/>
        <v>0</v>
      </c>
      <c r="J47" s="761">
        <f t="shared" si="4"/>
        <v>0</v>
      </c>
      <c r="K47" s="761">
        <f t="shared" si="4"/>
        <v>0</v>
      </c>
      <c r="L47" s="761"/>
      <c r="M47" s="604"/>
      <c r="N47" s="604"/>
      <c r="O47" s="604"/>
      <c r="P47" s="761"/>
      <c r="Q47" s="604"/>
      <c r="R47" s="604"/>
      <c r="S47" s="604"/>
    </row>
    <row r="48" spans="1:19" hidden="1">
      <c r="A48" s="780">
        <f t="shared" si="5"/>
        <v>5.2099999999999955</v>
      </c>
      <c r="B48" s="604"/>
      <c r="C48" s="761">
        <f t="shared" si="1"/>
        <v>0</v>
      </c>
      <c r="D48" s="761">
        <f t="shared" si="2"/>
        <v>0</v>
      </c>
      <c r="E48" s="761"/>
      <c r="F48" s="761"/>
      <c r="G48" s="761">
        <f t="shared" si="3"/>
        <v>0</v>
      </c>
      <c r="H48" s="761"/>
      <c r="I48" s="761">
        <f t="shared" si="4"/>
        <v>0</v>
      </c>
      <c r="J48" s="761">
        <f t="shared" si="4"/>
        <v>0</v>
      </c>
      <c r="K48" s="761">
        <f t="shared" si="4"/>
        <v>0</v>
      </c>
      <c r="L48" s="761"/>
      <c r="M48" s="604"/>
      <c r="N48" s="604"/>
      <c r="O48" s="604"/>
      <c r="P48" s="761"/>
      <c r="Q48" s="604"/>
      <c r="R48" s="604"/>
      <c r="S48" s="604"/>
    </row>
    <row r="49" spans="1:19" hidden="1">
      <c r="A49" s="780">
        <f t="shared" si="5"/>
        <v>5.2199999999999953</v>
      </c>
      <c r="B49" s="604"/>
      <c r="C49" s="761">
        <f t="shared" ref="C49:C55" si="8">SUM(M49:O49)</f>
        <v>0</v>
      </c>
      <c r="D49" s="761">
        <f t="shared" ref="D49:D55" si="9">SUM(Q49:S49)</f>
        <v>0</v>
      </c>
      <c r="E49" s="761"/>
      <c r="F49" s="761"/>
      <c r="G49" s="761">
        <f t="shared" si="3"/>
        <v>0</v>
      </c>
      <c r="H49" s="761"/>
      <c r="I49" s="761">
        <f t="shared" si="4"/>
        <v>0</v>
      </c>
      <c r="J49" s="761">
        <f t="shared" si="4"/>
        <v>0</v>
      </c>
      <c r="K49" s="761">
        <f t="shared" si="4"/>
        <v>0</v>
      </c>
      <c r="L49" s="761"/>
      <c r="M49" s="604"/>
      <c r="N49" s="604"/>
      <c r="O49" s="604"/>
      <c r="P49" s="761"/>
      <c r="Q49" s="604"/>
      <c r="R49" s="604"/>
      <c r="S49" s="604"/>
    </row>
    <row r="50" spans="1:19" hidden="1">
      <c r="A50" s="780">
        <f t="shared" si="5"/>
        <v>5.2299999999999951</v>
      </c>
      <c r="B50" s="604"/>
      <c r="C50" s="761">
        <f t="shared" si="8"/>
        <v>0</v>
      </c>
      <c r="D50" s="761">
        <f t="shared" si="9"/>
        <v>0</v>
      </c>
      <c r="E50" s="761"/>
      <c r="F50" s="761"/>
      <c r="G50" s="761">
        <f t="shared" si="3"/>
        <v>0</v>
      </c>
      <c r="H50" s="761"/>
      <c r="I50" s="761">
        <f t="shared" si="4"/>
        <v>0</v>
      </c>
      <c r="J50" s="761">
        <f t="shared" si="4"/>
        <v>0</v>
      </c>
      <c r="K50" s="761">
        <f t="shared" si="4"/>
        <v>0</v>
      </c>
      <c r="L50" s="761"/>
      <c r="M50" s="604"/>
      <c r="N50" s="604"/>
      <c r="O50" s="604"/>
      <c r="P50" s="761"/>
      <c r="Q50" s="604"/>
      <c r="R50" s="604"/>
      <c r="S50" s="604"/>
    </row>
    <row r="51" spans="1:19" hidden="1">
      <c r="A51" s="780">
        <f t="shared" si="5"/>
        <v>5.2399999999999949</v>
      </c>
      <c r="B51" s="604"/>
      <c r="C51" s="761">
        <f t="shared" si="8"/>
        <v>0</v>
      </c>
      <c r="D51" s="761">
        <f t="shared" si="9"/>
        <v>0</v>
      </c>
      <c r="E51" s="761"/>
      <c r="F51" s="761"/>
      <c r="G51" s="761">
        <f>ROUND(SUM(C51:F51)/2,0)</f>
        <v>0</v>
      </c>
      <c r="H51" s="761"/>
      <c r="I51" s="761">
        <f t="shared" si="4"/>
        <v>0</v>
      </c>
      <c r="J51" s="761">
        <f t="shared" si="4"/>
        <v>0</v>
      </c>
      <c r="K51" s="761">
        <f t="shared" si="4"/>
        <v>0</v>
      </c>
      <c r="L51" s="761"/>
      <c r="M51" s="604"/>
      <c r="N51" s="604"/>
      <c r="O51" s="604"/>
      <c r="P51" s="761"/>
      <c r="Q51" s="604"/>
      <c r="R51" s="604"/>
      <c r="S51" s="604"/>
    </row>
    <row r="52" spans="1:19" hidden="1">
      <c r="A52" s="780">
        <f t="shared" si="5"/>
        <v>5.2499999999999947</v>
      </c>
      <c r="B52" s="604"/>
      <c r="C52" s="761">
        <f t="shared" si="8"/>
        <v>0</v>
      </c>
      <c r="D52" s="761">
        <f t="shared" si="9"/>
        <v>0</v>
      </c>
      <c r="E52" s="761"/>
      <c r="F52" s="761"/>
      <c r="G52" s="761">
        <f>ROUND(SUM(C52:F52)/2,0)</f>
        <v>0</v>
      </c>
      <c r="H52" s="761"/>
      <c r="I52" s="761">
        <f t="shared" si="4"/>
        <v>0</v>
      </c>
      <c r="J52" s="761">
        <f t="shared" si="4"/>
        <v>0</v>
      </c>
      <c r="K52" s="761">
        <f t="shared" si="4"/>
        <v>0</v>
      </c>
      <c r="L52" s="761"/>
      <c r="M52" s="604"/>
      <c r="N52" s="604"/>
      <c r="O52" s="604"/>
      <c r="P52" s="761"/>
      <c r="Q52" s="604"/>
      <c r="R52" s="604"/>
      <c r="S52" s="604"/>
    </row>
    <row r="53" spans="1:19" hidden="1">
      <c r="A53" s="780">
        <f t="shared" si="5"/>
        <v>5.2599999999999945</v>
      </c>
      <c r="B53" s="604"/>
      <c r="C53" s="761">
        <f t="shared" si="8"/>
        <v>0</v>
      </c>
      <c r="D53" s="761">
        <f t="shared" si="9"/>
        <v>0</v>
      </c>
      <c r="E53" s="761"/>
      <c r="F53" s="761"/>
      <c r="G53" s="761">
        <f>ROUND(SUM(C53:F53)/2,0)</f>
        <v>0</v>
      </c>
      <c r="H53" s="761"/>
      <c r="I53" s="761">
        <f t="shared" si="4"/>
        <v>0</v>
      </c>
      <c r="J53" s="761">
        <f t="shared" si="4"/>
        <v>0</v>
      </c>
      <c r="K53" s="761">
        <f t="shared" si="4"/>
        <v>0</v>
      </c>
      <c r="L53" s="761"/>
      <c r="M53" s="604"/>
      <c r="N53" s="604"/>
      <c r="O53" s="604"/>
      <c r="P53" s="761"/>
      <c r="Q53" s="604"/>
      <c r="R53" s="604"/>
      <c r="S53" s="604"/>
    </row>
    <row r="54" spans="1:19" hidden="1">
      <c r="A54" s="780">
        <f t="shared" si="5"/>
        <v>5.2699999999999942</v>
      </c>
      <c r="B54" s="604"/>
      <c r="C54" s="761">
        <f t="shared" si="8"/>
        <v>0</v>
      </c>
      <c r="D54" s="761">
        <f t="shared" si="9"/>
        <v>0</v>
      </c>
      <c r="E54" s="761"/>
      <c r="F54" s="761"/>
      <c r="G54" s="761">
        <f>ROUND(SUM(C54:F54)/2,0)</f>
        <v>0</v>
      </c>
      <c r="H54" s="761"/>
      <c r="I54" s="761">
        <f t="shared" si="4"/>
        <v>0</v>
      </c>
      <c r="J54" s="761">
        <f t="shared" si="4"/>
        <v>0</v>
      </c>
      <c r="K54" s="761">
        <f t="shared" si="4"/>
        <v>0</v>
      </c>
      <c r="L54" s="761"/>
      <c r="M54" s="604"/>
      <c r="N54" s="604"/>
      <c r="O54" s="604"/>
      <c r="P54" s="761"/>
      <c r="Q54" s="604"/>
      <c r="R54" s="604"/>
      <c r="S54" s="604"/>
    </row>
    <row r="55" spans="1:19" hidden="1">
      <c r="A55" s="780">
        <f t="shared" si="5"/>
        <v>5.279999999999994</v>
      </c>
      <c r="B55" s="604"/>
      <c r="C55" s="761">
        <f t="shared" si="8"/>
        <v>0</v>
      </c>
      <c r="D55" s="761">
        <f t="shared" si="9"/>
        <v>0</v>
      </c>
      <c r="E55" s="761"/>
      <c r="F55" s="761"/>
      <c r="G55" s="761">
        <f>ROUND(SUM(C55:F55)/2,0)</f>
        <v>0</v>
      </c>
      <c r="H55" s="761"/>
      <c r="I55" s="761">
        <f t="shared" si="4"/>
        <v>0</v>
      </c>
      <c r="J55" s="761">
        <f t="shared" si="4"/>
        <v>0</v>
      </c>
      <c r="K55" s="761">
        <f t="shared" si="4"/>
        <v>0</v>
      </c>
      <c r="L55" s="761"/>
      <c r="M55" s="604"/>
      <c r="N55" s="604"/>
      <c r="O55" s="604"/>
      <c r="P55" s="761"/>
      <c r="Q55" s="604"/>
      <c r="R55" s="604"/>
      <c r="S55" s="604"/>
    </row>
    <row r="56" spans="1:19" hidden="1">
      <c r="A56" s="780">
        <f t="shared" si="5"/>
        <v>5.2899999999999938</v>
      </c>
      <c r="B56" s="604"/>
      <c r="C56" s="761">
        <f t="shared" si="1"/>
        <v>0</v>
      </c>
      <c r="D56" s="761">
        <f t="shared" si="2"/>
        <v>0</v>
      </c>
      <c r="E56" s="761"/>
      <c r="F56" s="761"/>
      <c r="G56" s="761">
        <f t="shared" ref="G56:G68" si="10">ROUND(SUM(C56:F56)/2,0)</f>
        <v>0</v>
      </c>
      <c r="H56" s="761"/>
      <c r="I56" s="761">
        <f t="shared" si="4"/>
        <v>0</v>
      </c>
      <c r="J56" s="761">
        <f t="shared" si="4"/>
        <v>0</v>
      </c>
      <c r="K56" s="761">
        <f t="shared" si="4"/>
        <v>0</v>
      </c>
      <c r="L56" s="761"/>
      <c r="M56" s="604"/>
      <c r="N56" s="604"/>
      <c r="O56" s="604"/>
      <c r="P56" s="761"/>
      <c r="Q56" s="604"/>
      <c r="R56" s="604"/>
      <c r="S56" s="604"/>
    </row>
    <row r="57" spans="1:19" hidden="1">
      <c r="A57" s="780">
        <f t="shared" si="5"/>
        <v>5.2999999999999936</v>
      </c>
      <c r="B57" s="604"/>
      <c r="C57" s="761">
        <f t="shared" si="1"/>
        <v>0</v>
      </c>
      <c r="D57" s="761">
        <f t="shared" si="2"/>
        <v>0</v>
      </c>
      <c r="E57" s="761"/>
      <c r="F57" s="761"/>
      <c r="G57" s="761">
        <f t="shared" si="10"/>
        <v>0</v>
      </c>
      <c r="H57" s="761"/>
      <c r="I57" s="761">
        <f t="shared" si="4"/>
        <v>0</v>
      </c>
      <c r="J57" s="761">
        <f t="shared" si="4"/>
        <v>0</v>
      </c>
      <c r="K57" s="761">
        <f t="shared" si="4"/>
        <v>0</v>
      </c>
      <c r="L57" s="761"/>
      <c r="M57" s="604"/>
      <c r="N57" s="604"/>
      <c r="O57" s="604"/>
      <c r="P57" s="761"/>
      <c r="Q57" s="604"/>
      <c r="R57" s="604"/>
      <c r="S57" s="604"/>
    </row>
    <row r="58" spans="1:19" hidden="1">
      <c r="A58" s="780">
        <f t="shared" si="5"/>
        <v>5.3099999999999934</v>
      </c>
      <c r="B58" s="604"/>
      <c r="C58" s="761">
        <f>SUM(M58:O58)</f>
        <v>0</v>
      </c>
      <c r="D58" s="761">
        <f>SUM(Q58:S58)</f>
        <v>0</v>
      </c>
      <c r="E58" s="761"/>
      <c r="F58" s="761"/>
      <c r="G58" s="761">
        <f>ROUND(SUM(C58:F58)/2,0)</f>
        <v>0</v>
      </c>
      <c r="H58" s="761"/>
      <c r="I58" s="761">
        <f t="shared" si="4"/>
        <v>0</v>
      </c>
      <c r="J58" s="761">
        <f t="shared" si="4"/>
        <v>0</v>
      </c>
      <c r="K58" s="761">
        <f t="shared" si="4"/>
        <v>0</v>
      </c>
      <c r="L58" s="761"/>
      <c r="M58" s="604"/>
      <c r="N58" s="604"/>
      <c r="O58" s="604"/>
      <c r="P58" s="761"/>
      <c r="Q58" s="604"/>
      <c r="R58" s="604"/>
      <c r="S58" s="604"/>
    </row>
    <row r="59" spans="1:19" hidden="1">
      <c r="A59" s="780">
        <f t="shared" si="5"/>
        <v>5.3199999999999932</v>
      </c>
      <c r="B59" s="604"/>
      <c r="C59" s="761">
        <f t="shared" si="1"/>
        <v>0</v>
      </c>
      <c r="D59" s="761">
        <f t="shared" si="2"/>
        <v>0</v>
      </c>
      <c r="E59" s="761"/>
      <c r="F59" s="761"/>
      <c r="G59" s="761">
        <f t="shared" si="10"/>
        <v>0</v>
      </c>
      <c r="H59" s="761"/>
      <c r="I59" s="761">
        <f t="shared" si="4"/>
        <v>0</v>
      </c>
      <c r="J59" s="761">
        <f t="shared" si="4"/>
        <v>0</v>
      </c>
      <c r="K59" s="761">
        <f t="shared" si="4"/>
        <v>0</v>
      </c>
      <c r="L59" s="761"/>
      <c r="M59" s="604"/>
      <c r="N59" s="604"/>
      <c r="O59" s="604"/>
      <c r="P59" s="761"/>
      <c r="Q59" s="604"/>
      <c r="R59" s="604"/>
      <c r="S59" s="604"/>
    </row>
    <row r="60" spans="1:19" hidden="1">
      <c r="A60" s="780">
        <f t="shared" si="5"/>
        <v>5.329999999999993</v>
      </c>
      <c r="B60" s="604"/>
      <c r="C60" s="761">
        <f t="shared" si="1"/>
        <v>0</v>
      </c>
      <c r="D60" s="761">
        <f t="shared" si="2"/>
        <v>0</v>
      </c>
      <c r="E60" s="761"/>
      <c r="F60" s="761"/>
      <c r="G60" s="761">
        <f t="shared" si="10"/>
        <v>0</v>
      </c>
      <c r="H60" s="761"/>
      <c r="I60" s="761">
        <f t="shared" si="4"/>
        <v>0</v>
      </c>
      <c r="J60" s="761">
        <f t="shared" si="4"/>
        <v>0</v>
      </c>
      <c r="K60" s="761">
        <f t="shared" si="4"/>
        <v>0</v>
      </c>
      <c r="L60" s="761"/>
      <c r="M60" s="604"/>
      <c r="N60" s="604"/>
      <c r="O60" s="604"/>
      <c r="P60" s="761"/>
      <c r="Q60" s="604"/>
      <c r="R60" s="604"/>
      <c r="S60" s="604"/>
    </row>
    <row r="61" spans="1:19" hidden="1">
      <c r="A61" s="780">
        <f t="shared" si="5"/>
        <v>5.3399999999999928</v>
      </c>
      <c r="B61" s="604"/>
      <c r="C61" s="766">
        <f>SUM(M61:O61)</f>
        <v>0</v>
      </c>
      <c r="D61" s="766">
        <f>SUM(Q61:S61)</f>
        <v>0</v>
      </c>
      <c r="E61" s="766"/>
      <c r="F61" s="766"/>
      <c r="G61" s="766">
        <f>ROUND(SUM(C61:F61)/2,0)</f>
        <v>0</v>
      </c>
      <c r="H61" s="766"/>
      <c r="I61" s="766">
        <f t="shared" si="4"/>
        <v>0</v>
      </c>
      <c r="J61" s="766">
        <f t="shared" si="4"/>
        <v>0</v>
      </c>
      <c r="K61" s="766">
        <f t="shared" si="4"/>
        <v>0</v>
      </c>
      <c r="L61" s="766"/>
      <c r="M61" s="604"/>
      <c r="N61" s="604"/>
      <c r="O61" s="604"/>
      <c r="P61" s="766"/>
      <c r="Q61" s="604"/>
      <c r="R61" s="604"/>
      <c r="S61" s="604"/>
    </row>
    <row r="62" spans="1:19" hidden="1">
      <c r="A62" s="780">
        <f t="shared" si="5"/>
        <v>5.3499999999999925</v>
      </c>
      <c r="B62" s="604"/>
      <c r="C62" s="766">
        <f t="shared" si="1"/>
        <v>0</v>
      </c>
      <c r="D62" s="766">
        <f t="shared" si="2"/>
        <v>0</v>
      </c>
      <c r="E62" s="766"/>
      <c r="F62" s="766"/>
      <c r="G62" s="766">
        <f t="shared" si="10"/>
        <v>0</v>
      </c>
      <c r="H62" s="766"/>
      <c r="I62" s="766">
        <f t="shared" si="4"/>
        <v>0</v>
      </c>
      <c r="J62" s="766">
        <f t="shared" si="4"/>
        <v>0</v>
      </c>
      <c r="K62" s="766">
        <f t="shared" si="4"/>
        <v>0</v>
      </c>
      <c r="L62" s="766"/>
      <c r="M62" s="604"/>
      <c r="N62" s="604"/>
      <c r="O62" s="604"/>
      <c r="P62" s="766"/>
      <c r="Q62" s="604"/>
      <c r="R62" s="604"/>
      <c r="S62" s="604"/>
    </row>
    <row r="63" spans="1:19" hidden="1">
      <c r="A63" s="780">
        <f t="shared" si="5"/>
        <v>5.3599999999999923</v>
      </c>
      <c r="B63" s="604"/>
      <c r="C63" s="761">
        <f t="shared" si="1"/>
        <v>0</v>
      </c>
      <c r="D63" s="761">
        <f t="shared" si="2"/>
        <v>0</v>
      </c>
      <c r="E63" s="761"/>
      <c r="F63" s="761"/>
      <c r="G63" s="761">
        <f t="shared" si="10"/>
        <v>0</v>
      </c>
      <c r="H63" s="761"/>
      <c r="I63" s="761">
        <f t="shared" si="4"/>
        <v>0</v>
      </c>
      <c r="J63" s="761">
        <f t="shared" si="4"/>
        <v>0</v>
      </c>
      <c r="K63" s="761">
        <f t="shared" si="4"/>
        <v>0</v>
      </c>
      <c r="L63" s="761"/>
      <c r="M63" s="604"/>
      <c r="N63" s="604"/>
      <c r="O63" s="604"/>
      <c r="P63" s="761"/>
      <c r="Q63" s="604"/>
      <c r="R63" s="604"/>
      <c r="S63" s="604"/>
    </row>
    <row r="64" spans="1:19" hidden="1">
      <c r="A64" s="780">
        <f t="shared" si="5"/>
        <v>5.3699999999999921</v>
      </c>
      <c r="B64" s="604"/>
      <c r="C64" s="761">
        <f t="shared" si="1"/>
        <v>0</v>
      </c>
      <c r="D64" s="761">
        <f t="shared" si="2"/>
        <v>0</v>
      </c>
      <c r="E64" s="761"/>
      <c r="F64" s="761"/>
      <c r="G64" s="761">
        <f t="shared" si="10"/>
        <v>0</v>
      </c>
      <c r="H64" s="761"/>
      <c r="I64" s="761">
        <f t="shared" si="4"/>
        <v>0</v>
      </c>
      <c r="J64" s="761">
        <f t="shared" si="4"/>
        <v>0</v>
      </c>
      <c r="K64" s="761">
        <f t="shared" si="4"/>
        <v>0</v>
      </c>
      <c r="L64" s="761"/>
      <c r="M64" s="604"/>
      <c r="N64" s="604"/>
      <c r="O64" s="604"/>
      <c r="P64" s="761"/>
      <c r="Q64" s="604"/>
      <c r="R64" s="604"/>
      <c r="S64" s="604"/>
    </row>
    <row r="65" spans="1:19">
      <c r="A65" s="780">
        <f t="shared" si="5"/>
        <v>5.3799999999999919</v>
      </c>
      <c r="B65" s="604"/>
      <c r="C65" s="761">
        <f>SUM(M65:O65)</f>
        <v>0</v>
      </c>
      <c r="D65" s="761">
        <f>SUM(Q65:S65)</f>
        <v>0</v>
      </c>
      <c r="E65" s="761"/>
      <c r="F65" s="761"/>
      <c r="G65" s="761">
        <f>ROUND(SUM(C65:F65)/2,0)</f>
        <v>0</v>
      </c>
      <c r="H65" s="761"/>
      <c r="I65" s="761">
        <f t="shared" si="4"/>
        <v>0</v>
      </c>
      <c r="J65" s="761">
        <f t="shared" si="4"/>
        <v>0</v>
      </c>
      <c r="K65" s="761">
        <f t="shared" si="4"/>
        <v>0</v>
      </c>
      <c r="L65" s="761"/>
      <c r="M65" s="604"/>
      <c r="N65" s="604"/>
      <c r="O65" s="604"/>
      <c r="P65" s="761"/>
      <c r="Q65" s="604"/>
      <c r="R65" s="604"/>
      <c r="S65" s="604"/>
    </row>
    <row r="66" spans="1:19">
      <c r="A66" s="780">
        <f t="shared" si="5"/>
        <v>5.3899999999999917</v>
      </c>
      <c r="B66" s="604"/>
      <c r="C66" s="604"/>
      <c r="D66" s="604"/>
      <c r="E66" s="761">
        <f t="shared" ref="E66:F68" si="11">-C66</f>
        <v>0</v>
      </c>
      <c r="F66" s="761">
        <f t="shared" si="11"/>
        <v>0</v>
      </c>
      <c r="G66" s="761">
        <f t="shared" si="10"/>
        <v>0</v>
      </c>
      <c r="H66" s="761"/>
      <c r="I66" s="761"/>
      <c r="J66" s="761"/>
      <c r="K66" s="761"/>
      <c r="L66" s="761"/>
      <c r="M66" s="761"/>
      <c r="N66" s="761"/>
      <c r="O66" s="761"/>
      <c r="P66" s="761"/>
      <c r="Q66" s="761"/>
      <c r="R66" s="761"/>
      <c r="S66" s="761"/>
    </row>
    <row r="67" spans="1:19">
      <c r="A67" s="780">
        <f t="shared" si="5"/>
        <v>5.3999999999999915</v>
      </c>
      <c r="B67" s="604"/>
      <c r="C67" s="604"/>
      <c r="D67" s="604"/>
      <c r="E67" s="761">
        <f t="shared" si="11"/>
        <v>0</v>
      </c>
      <c r="F67" s="761">
        <f t="shared" si="11"/>
        <v>0</v>
      </c>
      <c r="G67" s="761">
        <f t="shared" si="10"/>
        <v>0</v>
      </c>
      <c r="H67" s="761"/>
      <c r="I67" s="761"/>
      <c r="J67" s="761"/>
      <c r="K67" s="761"/>
      <c r="L67" s="761"/>
      <c r="M67" s="761"/>
      <c r="N67" s="761"/>
      <c r="O67" s="761"/>
      <c r="P67" s="761"/>
      <c r="Q67" s="761"/>
      <c r="R67" s="761"/>
      <c r="S67" s="761"/>
    </row>
    <row r="68" spans="1:19">
      <c r="A68" s="780">
        <f t="shared" si="5"/>
        <v>5.4099999999999913</v>
      </c>
      <c r="B68" s="604"/>
      <c r="C68" s="604"/>
      <c r="D68" s="604"/>
      <c r="E68" s="761">
        <f t="shared" si="11"/>
        <v>0</v>
      </c>
      <c r="F68" s="761">
        <f t="shared" si="11"/>
        <v>0</v>
      </c>
      <c r="G68" s="761">
        <f t="shared" si="10"/>
        <v>0</v>
      </c>
      <c r="H68" s="761"/>
      <c r="I68" s="761"/>
      <c r="J68" s="761"/>
      <c r="K68" s="761"/>
      <c r="L68" s="761"/>
      <c r="M68" s="761"/>
      <c r="N68" s="761"/>
      <c r="O68" s="761"/>
      <c r="P68" s="761"/>
      <c r="Q68" s="761"/>
      <c r="R68" s="761"/>
      <c r="S68" s="761"/>
    </row>
    <row r="69" spans="1:19">
      <c r="A69"/>
    </row>
    <row r="70" spans="1:19">
      <c r="A70" s="770"/>
      <c r="B70" s="754"/>
      <c r="C70" s="761"/>
      <c r="D70" s="761"/>
      <c r="E70" s="761"/>
      <c r="F70" s="761"/>
      <c r="G70" s="761"/>
      <c r="H70" s="761"/>
      <c r="I70" s="761"/>
      <c r="J70" s="761"/>
      <c r="K70" s="761"/>
      <c r="L70" s="761"/>
      <c r="M70" s="761"/>
      <c r="N70" s="761"/>
      <c r="O70" s="761"/>
      <c r="P70" s="761"/>
      <c r="Q70" s="761"/>
      <c r="R70" s="761"/>
      <c r="S70" s="761"/>
    </row>
    <row r="71" spans="1:19" ht="13.5" thickBot="1">
      <c r="A71" s="770">
        <v>6</v>
      </c>
      <c r="B71" t="s">
        <v>721</v>
      </c>
      <c r="C71" s="764">
        <f>SUM(C28:C70)</f>
        <v>0</v>
      </c>
      <c r="D71" s="764">
        <f>SUM(D28:D70)</f>
        <v>0</v>
      </c>
      <c r="E71" s="764">
        <f>SUM(E28:E70)</f>
        <v>0</v>
      </c>
      <c r="F71" s="764">
        <f>SUM(F28:F70)</f>
        <v>0</v>
      </c>
      <c r="G71" s="764">
        <f>SUM(G28:G70)</f>
        <v>0</v>
      </c>
      <c r="H71" s="761"/>
      <c r="I71" s="764">
        <f>SUM(I28:I70)</f>
        <v>0</v>
      </c>
      <c r="J71" s="764">
        <f>SUM(J28:J70)</f>
        <v>0</v>
      </c>
      <c r="K71" s="764">
        <f>SUM(K28:K70)</f>
        <v>0</v>
      </c>
      <c r="L71" s="761"/>
      <c r="M71" s="764">
        <f>SUM(M28:M70)</f>
        <v>0</v>
      </c>
      <c r="N71" s="764">
        <f>SUM(N28:N70)</f>
        <v>0</v>
      </c>
      <c r="O71" s="764">
        <f>SUM(O28:O70)</f>
        <v>0</v>
      </c>
      <c r="P71" s="761"/>
      <c r="Q71" s="764">
        <f>SUM(Q28:Q70)</f>
        <v>0</v>
      </c>
      <c r="R71" s="764">
        <f>SUM(R28:R70)</f>
        <v>0</v>
      </c>
      <c r="S71" s="764">
        <f>SUM(S28:S70)</f>
        <v>0</v>
      </c>
    </row>
    <row r="72" spans="1:19" ht="13.5" thickTop="1">
      <c r="A72" s="770">
        <f>A71+1</f>
        <v>7</v>
      </c>
      <c r="B72" s="18" t="s">
        <v>734</v>
      </c>
      <c r="C72" s="765">
        <f>SUM(C34,C35,C61,C62)</f>
        <v>0</v>
      </c>
      <c r="D72" s="765">
        <f>SUM(D34,D35,D61,D62)</f>
        <v>0</v>
      </c>
      <c r="E72" s="765">
        <f>SUM(E34,E35,E61,E62)</f>
        <v>0</v>
      </c>
      <c r="F72" s="765">
        <f>SUM(F34,F35,F61,F62)</f>
        <v>0</v>
      </c>
      <c r="G72" s="765">
        <f>SUM(G34,G35,G61,G62)</f>
        <v>0</v>
      </c>
      <c r="H72" s="761"/>
      <c r="I72" s="765">
        <f>SUM(I34,I35,I61,I62)</f>
        <v>0</v>
      </c>
      <c r="J72" s="765">
        <f>SUM(J34,J35,J61,J62)</f>
        <v>0</v>
      </c>
      <c r="K72" s="765">
        <f>SUM(K34,K35,K61,K62)</f>
        <v>0</v>
      </c>
      <c r="L72" s="765"/>
      <c r="M72" s="765">
        <f>SUM(M34,M35,M61,M62)</f>
        <v>0</v>
      </c>
      <c r="N72" s="765">
        <f>SUM(N34,N35,N61,N62)</f>
        <v>0</v>
      </c>
      <c r="O72" s="765">
        <f>SUM(O34,O35,O61,O62)</f>
        <v>0</v>
      </c>
      <c r="P72" s="761"/>
      <c r="Q72" s="765">
        <f>SUM(Q34,Q35,Q61,Q62)</f>
        <v>0</v>
      </c>
      <c r="R72" s="765">
        <f>SUM(R34,R35,R61,R62)</f>
        <v>0</v>
      </c>
      <c r="S72" s="765">
        <f>SUM(S34,S35,S61,S62)</f>
        <v>0</v>
      </c>
    </row>
    <row r="73" spans="1:19">
      <c r="A73" s="770"/>
      <c r="C73" s="761"/>
      <c r="D73" s="761"/>
      <c r="E73" s="761"/>
      <c r="F73" s="761"/>
      <c r="G73" s="761"/>
      <c r="H73" s="761"/>
      <c r="I73" s="761"/>
      <c r="J73" s="761"/>
      <c r="K73" s="761"/>
      <c r="L73" s="761"/>
      <c r="M73" s="761"/>
      <c r="N73" s="761"/>
      <c r="O73" s="761"/>
      <c r="P73" s="761"/>
      <c r="Q73" s="761"/>
      <c r="R73" s="761"/>
      <c r="S73" s="761"/>
    </row>
    <row r="74" spans="1:19">
      <c r="A74" s="770">
        <v>8</v>
      </c>
      <c r="B74" t="s">
        <v>722</v>
      </c>
      <c r="C74" s="761" t="s">
        <v>114</v>
      </c>
      <c r="D74" s="761"/>
      <c r="E74" s="761"/>
      <c r="F74" s="761"/>
      <c r="G74" s="761"/>
      <c r="H74" s="761"/>
      <c r="I74" s="761"/>
      <c r="J74" s="761"/>
      <c r="K74" s="761"/>
      <c r="L74" s="761"/>
      <c r="M74" s="761"/>
      <c r="N74" s="761"/>
      <c r="O74" s="761"/>
      <c r="P74" s="761"/>
      <c r="Q74" s="761"/>
      <c r="R74" s="761"/>
      <c r="S74" s="761"/>
    </row>
    <row r="75" spans="1:19">
      <c r="A75" s="770"/>
      <c r="B75" s="754"/>
      <c r="C75" s="761"/>
      <c r="D75" s="761"/>
      <c r="E75" s="761"/>
      <c r="F75" s="761"/>
      <c r="G75" s="761"/>
      <c r="H75" s="761"/>
      <c r="I75" s="761"/>
      <c r="J75" s="761"/>
      <c r="K75" s="761"/>
      <c r="L75" s="761"/>
      <c r="M75" s="761"/>
      <c r="N75" s="761"/>
      <c r="O75" s="761"/>
      <c r="P75" s="761"/>
      <c r="Q75" s="761"/>
      <c r="R75" s="761"/>
      <c r="S75" s="761"/>
    </row>
    <row r="76" spans="1:19">
      <c r="A76" s="780">
        <v>9.01</v>
      </c>
      <c r="B76" s="604"/>
      <c r="C76" s="761">
        <f>SUM(M76:O76)</f>
        <v>0</v>
      </c>
      <c r="D76" s="761">
        <f t="shared" ref="D76:D139" si="12">SUM(Q76:S76)</f>
        <v>0</v>
      </c>
      <c r="E76" s="761"/>
      <c r="F76" s="761"/>
      <c r="G76" s="761">
        <f t="shared" ref="G76:G130" si="13">ROUND(SUM(C76:F76)/2,0)</f>
        <v>0</v>
      </c>
      <c r="H76" s="761"/>
      <c r="I76" s="761">
        <f>(M76+Q76)/2</f>
        <v>0</v>
      </c>
      <c r="J76" s="761">
        <f>(N76+R76)/2</f>
        <v>0</v>
      </c>
      <c r="K76" s="761">
        <f>(O76+S76)/2</f>
        <v>0</v>
      </c>
      <c r="L76" s="761"/>
      <c r="M76" s="604"/>
      <c r="N76" s="604"/>
      <c r="O76" s="604"/>
      <c r="P76" s="761"/>
      <c r="Q76" s="604"/>
      <c r="R76" s="604"/>
      <c r="S76" s="604"/>
    </row>
    <row r="77" spans="1:19">
      <c r="A77" s="780">
        <f>A76+0.01</f>
        <v>9.02</v>
      </c>
      <c r="B77" s="604"/>
      <c r="C77" s="761">
        <f t="shared" ref="C77:C140" si="14">SUM(M77:O77)</f>
        <v>0</v>
      </c>
      <c r="D77" s="761">
        <f t="shared" si="12"/>
        <v>0</v>
      </c>
      <c r="E77" s="761"/>
      <c r="F77" s="761"/>
      <c r="G77" s="761">
        <f>ROUND(SUM(C77:F77)/2,0)</f>
        <v>0</v>
      </c>
      <c r="H77" s="761"/>
      <c r="I77" s="761">
        <f t="shared" ref="I77:K136" si="15">(M77+Q77)/2</f>
        <v>0</v>
      </c>
      <c r="J77" s="761">
        <f t="shared" si="15"/>
        <v>0</v>
      </c>
      <c r="K77" s="761">
        <f t="shared" si="15"/>
        <v>0</v>
      </c>
      <c r="L77" s="761"/>
      <c r="M77" s="604"/>
      <c r="N77" s="604"/>
      <c r="O77" s="604"/>
      <c r="P77" s="761"/>
      <c r="Q77" s="604"/>
      <c r="R77" s="604"/>
      <c r="S77" s="604"/>
    </row>
    <row r="78" spans="1:19">
      <c r="A78" s="780">
        <f t="shared" ref="A78:A141" si="16">A77+0.01</f>
        <v>9.0299999999999994</v>
      </c>
      <c r="B78" s="604"/>
      <c r="C78" s="761">
        <f t="shared" si="14"/>
        <v>0</v>
      </c>
      <c r="D78" s="761">
        <f t="shared" si="12"/>
        <v>0</v>
      </c>
      <c r="E78" s="761"/>
      <c r="F78" s="761"/>
      <c r="G78" s="761">
        <f t="shared" si="13"/>
        <v>0</v>
      </c>
      <c r="H78" s="761"/>
      <c r="I78" s="761">
        <f t="shared" si="15"/>
        <v>0</v>
      </c>
      <c r="J78" s="761">
        <f t="shared" si="15"/>
        <v>0</v>
      </c>
      <c r="K78" s="761">
        <f t="shared" si="15"/>
        <v>0</v>
      </c>
      <c r="L78" s="761"/>
      <c r="M78" s="604"/>
      <c r="N78" s="604"/>
      <c r="O78" s="604"/>
      <c r="P78" s="761"/>
      <c r="Q78" s="604"/>
      <c r="R78" s="604"/>
      <c r="S78" s="604"/>
    </row>
    <row r="79" spans="1:19">
      <c r="A79" s="780">
        <f t="shared" si="16"/>
        <v>9.0399999999999991</v>
      </c>
      <c r="B79" s="604"/>
      <c r="C79" s="761">
        <f t="shared" si="14"/>
        <v>0</v>
      </c>
      <c r="D79" s="761">
        <f t="shared" si="12"/>
        <v>0</v>
      </c>
      <c r="E79" s="761"/>
      <c r="F79" s="761"/>
      <c r="G79" s="761">
        <f t="shared" si="13"/>
        <v>0</v>
      </c>
      <c r="H79" s="761"/>
      <c r="I79" s="761">
        <f t="shared" si="15"/>
        <v>0</v>
      </c>
      <c r="J79" s="761">
        <f t="shared" si="15"/>
        <v>0</v>
      </c>
      <c r="K79" s="761">
        <f t="shared" si="15"/>
        <v>0</v>
      </c>
      <c r="L79" s="761"/>
      <c r="M79" s="604"/>
      <c r="N79" s="604"/>
      <c r="O79" s="604"/>
      <c r="P79" s="761"/>
      <c r="Q79" s="604"/>
      <c r="R79" s="604"/>
      <c r="S79" s="604"/>
    </row>
    <row r="80" spans="1:19">
      <c r="A80" s="780">
        <f t="shared" si="16"/>
        <v>9.0499999999999989</v>
      </c>
      <c r="B80" s="604"/>
      <c r="C80" s="761">
        <f t="shared" si="14"/>
        <v>0</v>
      </c>
      <c r="D80" s="761">
        <f t="shared" si="12"/>
        <v>0</v>
      </c>
      <c r="E80" s="761"/>
      <c r="F80" s="761"/>
      <c r="G80" s="761">
        <f t="shared" si="13"/>
        <v>0</v>
      </c>
      <c r="H80" s="761"/>
      <c r="I80" s="761">
        <f t="shared" si="15"/>
        <v>0</v>
      </c>
      <c r="J80" s="761">
        <f t="shared" si="15"/>
        <v>0</v>
      </c>
      <c r="K80" s="761">
        <f t="shared" si="15"/>
        <v>0</v>
      </c>
      <c r="L80" s="761"/>
      <c r="M80" s="604"/>
      <c r="N80" s="604"/>
      <c r="O80" s="604"/>
      <c r="P80" s="761"/>
      <c r="Q80" s="604"/>
      <c r="R80" s="604"/>
      <c r="S80" s="604"/>
    </row>
    <row r="81" spans="1:19">
      <c r="A81" s="780">
        <f t="shared" si="16"/>
        <v>9.0599999999999987</v>
      </c>
      <c r="B81" s="604"/>
      <c r="C81" s="761">
        <f t="shared" si="14"/>
        <v>0</v>
      </c>
      <c r="D81" s="761">
        <f t="shared" si="12"/>
        <v>0</v>
      </c>
      <c r="E81" s="761"/>
      <c r="F81" s="761"/>
      <c r="G81" s="761">
        <f t="shared" si="13"/>
        <v>0</v>
      </c>
      <c r="H81" s="761"/>
      <c r="I81" s="761">
        <f t="shared" si="15"/>
        <v>0</v>
      </c>
      <c r="J81" s="761">
        <f t="shared" si="15"/>
        <v>0</v>
      </c>
      <c r="K81" s="761">
        <f t="shared" si="15"/>
        <v>0</v>
      </c>
      <c r="L81" s="761"/>
      <c r="M81" s="604"/>
      <c r="N81" s="604"/>
      <c r="O81" s="604"/>
      <c r="P81" s="761"/>
      <c r="Q81" s="604"/>
      <c r="R81" s="604"/>
      <c r="S81" s="604"/>
    </row>
    <row r="82" spans="1:19">
      <c r="A82" s="780">
        <f t="shared" si="16"/>
        <v>9.0699999999999985</v>
      </c>
      <c r="B82" s="604"/>
      <c r="C82" s="761">
        <f t="shared" si="14"/>
        <v>0</v>
      </c>
      <c r="D82" s="761">
        <f t="shared" si="12"/>
        <v>0</v>
      </c>
      <c r="E82" s="761"/>
      <c r="F82" s="761"/>
      <c r="G82" s="761">
        <f>ROUND(SUM(C82:F82)/2,0)</f>
        <v>0</v>
      </c>
      <c r="H82" s="761"/>
      <c r="I82" s="761">
        <f t="shared" si="15"/>
        <v>0</v>
      </c>
      <c r="J82" s="761">
        <f t="shared" si="15"/>
        <v>0</v>
      </c>
      <c r="K82" s="761">
        <f t="shared" si="15"/>
        <v>0</v>
      </c>
      <c r="L82" s="761"/>
      <c r="M82" s="604"/>
      <c r="N82" s="604"/>
      <c r="O82" s="604"/>
      <c r="P82" s="761"/>
      <c r="Q82" s="604"/>
      <c r="R82" s="604"/>
      <c r="S82" s="604"/>
    </row>
    <row r="83" spans="1:19">
      <c r="A83" s="780">
        <f t="shared" si="16"/>
        <v>9.0799999999999983</v>
      </c>
      <c r="B83" s="604"/>
      <c r="C83" s="761">
        <f t="shared" si="14"/>
        <v>0</v>
      </c>
      <c r="D83" s="761">
        <f t="shared" si="12"/>
        <v>0</v>
      </c>
      <c r="E83" s="761"/>
      <c r="F83" s="761"/>
      <c r="G83" s="761">
        <f>ROUND(SUM(C83:F83)/2,0)</f>
        <v>0</v>
      </c>
      <c r="H83" s="761"/>
      <c r="I83" s="761">
        <f t="shared" si="15"/>
        <v>0</v>
      </c>
      <c r="J83" s="761">
        <f t="shared" si="15"/>
        <v>0</v>
      </c>
      <c r="K83" s="761">
        <f t="shared" si="15"/>
        <v>0</v>
      </c>
      <c r="L83" s="761"/>
      <c r="M83" s="604"/>
      <c r="N83" s="604"/>
      <c r="O83" s="604"/>
      <c r="P83" s="761"/>
      <c r="Q83" s="604"/>
      <c r="R83" s="604"/>
      <c r="S83" s="604"/>
    </row>
    <row r="84" spans="1:19" hidden="1">
      <c r="A84" s="780">
        <f t="shared" si="16"/>
        <v>9.0899999999999981</v>
      </c>
      <c r="B84" s="604"/>
      <c r="C84" s="761">
        <f t="shared" si="14"/>
        <v>0</v>
      </c>
      <c r="D84" s="761">
        <f t="shared" si="12"/>
        <v>0</v>
      </c>
      <c r="E84" s="761"/>
      <c r="F84" s="761"/>
      <c r="G84" s="761">
        <f t="shared" si="13"/>
        <v>0</v>
      </c>
      <c r="H84" s="761"/>
      <c r="I84" s="761">
        <f t="shared" si="15"/>
        <v>0</v>
      </c>
      <c r="J84" s="761">
        <f t="shared" si="15"/>
        <v>0</v>
      </c>
      <c r="K84" s="761">
        <f t="shared" si="15"/>
        <v>0</v>
      </c>
      <c r="L84" s="761"/>
      <c r="M84" s="604"/>
      <c r="N84" s="604"/>
      <c r="O84" s="604"/>
      <c r="P84" s="761"/>
      <c r="Q84" s="604"/>
      <c r="R84" s="604"/>
      <c r="S84" s="604"/>
    </row>
    <row r="85" spans="1:19" hidden="1">
      <c r="A85" s="780">
        <f t="shared" si="16"/>
        <v>9.0999999999999979</v>
      </c>
      <c r="B85" s="604"/>
      <c r="C85" s="761">
        <f t="shared" si="14"/>
        <v>0</v>
      </c>
      <c r="D85" s="761">
        <f t="shared" si="12"/>
        <v>0</v>
      </c>
      <c r="E85" s="761"/>
      <c r="F85" s="761"/>
      <c r="G85" s="761">
        <f>ROUND(SUM(C85:F85)/2,0)</f>
        <v>0</v>
      </c>
      <c r="H85" s="761"/>
      <c r="I85" s="761">
        <f t="shared" si="15"/>
        <v>0</v>
      </c>
      <c r="J85" s="761">
        <f t="shared" si="15"/>
        <v>0</v>
      </c>
      <c r="K85" s="761">
        <f t="shared" si="15"/>
        <v>0</v>
      </c>
      <c r="L85" s="761"/>
      <c r="M85" s="604"/>
      <c r="N85" s="604"/>
      <c r="O85" s="604"/>
      <c r="P85" s="761"/>
      <c r="Q85" s="604"/>
      <c r="R85" s="604"/>
      <c r="S85" s="604"/>
    </row>
    <row r="86" spans="1:19" hidden="1">
      <c r="A86" s="780">
        <f t="shared" si="16"/>
        <v>9.1099999999999977</v>
      </c>
      <c r="B86" s="604"/>
      <c r="C86" s="761">
        <f t="shared" si="14"/>
        <v>0</v>
      </c>
      <c r="D86" s="761">
        <f t="shared" si="12"/>
        <v>0</v>
      </c>
      <c r="E86" s="761"/>
      <c r="F86" s="761"/>
      <c r="G86" s="761">
        <f>ROUND(SUM(C86:F86)/2,0)</f>
        <v>0</v>
      </c>
      <c r="H86" s="761"/>
      <c r="I86" s="761">
        <f t="shared" si="15"/>
        <v>0</v>
      </c>
      <c r="J86" s="761">
        <f t="shared" si="15"/>
        <v>0</v>
      </c>
      <c r="K86" s="761">
        <f t="shared" si="15"/>
        <v>0</v>
      </c>
      <c r="L86" s="761"/>
      <c r="M86" s="604"/>
      <c r="N86" s="604"/>
      <c r="O86" s="604"/>
      <c r="P86" s="761"/>
      <c r="Q86" s="604"/>
      <c r="R86" s="604"/>
      <c r="S86" s="604"/>
    </row>
    <row r="87" spans="1:19" hidden="1">
      <c r="A87" s="780">
        <f t="shared" si="16"/>
        <v>9.1199999999999974</v>
      </c>
      <c r="B87" s="604"/>
      <c r="C87" s="761">
        <f t="shared" si="14"/>
        <v>0</v>
      </c>
      <c r="D87" s="761">
        <f t="shared" si="12"/>
        <v>0</v>
      </c>
      <c r="E87" s="761"/>
      <c r="F87" s="761"/>
      <c r="G87" s="761">
        <f t="shared" si="13"/>
        <v>0</v>
      </c>
      <c r="H87" s="761"/>
      <c r="I87" s="761">
        <f t="shared" si="15"/>
        <v>0</v>
      </c>
      <c r="J87" s="761">
        <f t="shared" si="15"/>
        <v>0</v>
      </c>
      <c r="K87" s="761">
        <f t="shared" si="15"/>
        <v>0</v>
      </c>
      <c r="L87" s="761"/>
      <c r="M87" s="604"/>
      <c r="N87" s="604"/>
      <c r="O87" s="604"/>
      <c r="P87" s="761"/>
      <c r="Q87" s="604"/>
      <c r="R87" s="604"/>
      <c r="S87" s="604"/>
    </row>
    <row r="88" spans="1:19" hidden="1">
      <c r="A88" s="780">
        <f t="shared" si="16"/>
        <v>9.1299999999999972</v>
      </c>
      <c r="B88" s="604"/>
      <c r="C88" s="761">
        <f t="shared" si="14"/>
        <v>0</v>
      </c>
      <c r="D88" s="761">
        <f t="shared" si="12"/>
        <v>0</v>
      </c>
      <c r="E88" s="761"/>
      <c r="F88" s="761"/>
      <c r="G88" s="761">
        <f t="shared" si="13"/>
        <v>0</v>
      </c>
      <c r="H88" s="761"/>
      <c r="I88" s="761">
        <f t="shared" si="15"/>
        <v>0</v>
      </c>
      <c r="J88" s="761">
        <f t="shared" si="15"/>
        <v>0</v>
      </c>
      <c r="K88" s="761">
        <f t="shared" si="15"/>
        <v>0</v>
      </c>
      <c r="L88" s="761"/>
      <c r="M88" s="604"/>
      <c r="N88" s="604"/>
      <c r="O88" s="604"/>
      <c r="P88" s="761"/>
      <c r="Q88" s="604"/>
      <c r="R88" s="604"/>
      <c r="S88" s="604"/>
    </row>
    <row r="89" spans="1:19" hidden="1">
      <c r="A89" s="780">
        <f t="shared" si="16"/>
        <v>9.139999999999997</v>
      </c>
      <c r="B89" s="604"/>
      <c r="C89" s="761">
        <f t="shared" si="14"/>
        <v>0</v>
      </c>
      <c r="D89" s="761">
        <f t="shared" si="12"/>
        <v>0</v>
      </c>
      <c r="E89" s="761"/>
      <c r="F89" s="761"/>
      <c r="G89" s="761">
        <f t="shared" si="13"/>
        <v>0</v>
      </c>
      <c r="H89" s="761"/>
      <c r="I89" s="761">
        <f t="shared" si="15"/>
        <v>0</v>
      </c>
      <c r="J89" s="761">
        <f t="shared" si="15"/>
        <v>0</v>
      </c>
      <c r="K89" s="761">
        <f t="shared" si="15"/>
        <v>0</v>
      </c>
      <c r="L89" s="761"/>
      <c r="M89" s="604"/>
      <c r="N89" s="604"/>
      <c r="O89" s="604"/>
      <c r="P89" s="761"/>
      <c r="Q89" s="604"/>
      <c r="R89" s="604"/>
      <c r="S89" s="604"/>
    </row>
    <row r="90" spans="1:19" hidden="1">
      <c r="A90" s="780">
        <f t="shared" si="16"/>
        <v>9.1499999999999968</v>
      </c>
      <c r="B90" s="604"/>
      <c r="C90" s="761">
        <f t="shared" si="14"/>
        <v>0</v>
      </c>
      <c r="D90" s="761">
        <f t="shared" si="12"/>
        <v>0</v>
      </c>
      <c r="E90" s="761"/>
      <c r="F90" s="761"/>
      <c r="G90" s="761">
        <f t="shared" si="13"/>
        <v>0</v>
      </c>
      <c r="H90" s="761"/>
      <c r="I90" s="761">
        <f t="shared" si="15"/>
        <v>0</v>
      </c>
      <c r="J90" s="761">
        <f t="shared" si="15"/>
        <v>0</v>
      </c>
      <c r="K90" s="761">
        <f t="shared" si="15"/>
        <v>0</v>
      </c>
      <c r="L90" s="761"/>
      <c r="M90" s="604"/>
      <c r="N90" s="604"/>
      <c r="O90" s="604"/>
      <c r="P90" s="761"/>
      <c r="Q90" s="604"/>
      <c r="R90" s="604"/>
      <c r="S90" s="604"/>
    </row>
    <row r="91" spans="1:19" hidden="1">
      <c r="A91" s="780">
        <f t="shared" si="16"/>
        <v>9.1599999999999966</v>
      </c>
      <c r="B91" s="604"/>
      <c r="C91" s="761">
        <f t="shared" si="14"/>
        <v>0</v>
      </c>
      <c r="D91" s="761">
        <f t="shared" si="12"/>
        <v>0</v>
      </c>
      <c r="E91" s="761"/>
      <c r="F91" s="761"/>
      <c r="G91" s="761">
        <f t="shared" si="13"/>
        <v>0</v>
      </c>
      <c r="H91" s="761"/>
      <c r="I91" s="761">
        <f t="shared" si="15"/>
        <v>0</v>
      </c>
      <c r="J91" s="761">
        <f t="shared" si="15"/>
        <v>0</v>
      </c>
      <c r="K91" s="761">
        <f t="shared" si="15"/>
        <v>0</v>
      </c>
      <c r="L91" s="761"/>
      <c r="M91" s="604"/>
      <c r="N91" s="604"/>
      <c r="O91" s="604"/>
      <c r="P91" s="761"/>
      <c r="Q91" s="604"/>
      <c r="R91" s="604"/>
      <c r="S91" s="604"/>
    </row>
    <row r="92" spans="1:19" hidden="1">
      <c r="A92" s="780">
        <f t="shared" si="16"/>
        <v>9.1699999999999964</v>
      </c>
      <c r="B92" s="604"/>
      <c r="C92" s="761">
        <f t="shared" si="14"/>
        <v>0</v>
      </c>
      <c r="D92" s="761">
        <f t="shared" si="12"/>
        <v>0</v>
      </c>
      <c r="E92" s="761"/>
      <c r="F92" s="761"/>
      <c r="G92" s="761">
        <f t="shared" si="13"/>
        <v>0</v>
      </c>
      <c r="H92" s="761"/>
      <c r="I92" s="761">
        <f t="shared" si="15"/>
        <v>0</v>
      </c>
      <c r="J92" s="761">
        <f t="shared" si="15"/>
        <v>0</v>
      </c>
      <c r="K92" s="761">
        <f t="shared" si="15"/>
        <v>0</v>
      </c>
      <c r="L92" s="761"/>
      <c r="M92" s="604"/>
      <c r="N92" s="604"/>
      <c r="O92" s="604"/>
      <c r="P92" s="761"/>
      <c r="Q92" s="604"/>
      <c r="R92" s="604"/>
      <c r="S92" s="604"/>
    </row>
    <row r="93" spans="1:19" hidden="1">
      <c r="A93" s="780">
        <f t="shared" si="16"/>
        <v>9.1799999999999962</v>
      </c>
      <c r="B93" s="604"/>
      <c r="C93" s="761">
        <f t="shared" si="14"/>
        <v>0</v>
      </c>
      <c r="D93" s="761">
        <f t="shared" si="12"/>
        <v>0</v>
      </c>
      <c r="E93" s="761"/>
      <c r="F93" s="761"/>
      <c r="G93" s="761">
        <f t="shared" si="13"/>
        <v>0</v>
      </c>
      <c r="H93" s="761"/>
      <c r="I93" s="761">
        <f t="shared" si="15"/>
        <v>0</v>
      </c>
      <c r="J93" s="761">
        <f t="shared" si="15"/>
        <v>0</v>
      </c>
      <c r="K93" s="761">
        <f t="shared" si="15"/>
        <v>0</v>
      </c>
      <c r="L93" s="761"/>
      <c r="M93" s="604"/>
      <c r="N93" s="604"/>
      <c r="O93" s="604"/>
      <c r="P93" s="761"/>
      <c r="Q93" s="604"/>
      <c r="R93" s="604"/>
      <c r="S93" s="604"/>
    </row>
    <row r="94" spans="1:19" hidden="1">
      <c r="A94" s="780">
        <f t="shared" si="16"/>
        <v>9.1899999999999959</v>
      </c>
      <c r="B94" s="604"/>
      <c r="C94" s="761">
        <f t="shared" si="14"/>
        <v>0</v>
      </c>
      <c r="D94" s="761">
        <f t="shared" si="12"/>
        <v>0</v>
      </c>
      <c r="E94" s="761"/>
      <c r="F94" s="761"/>
      <c r="G94" s="761">
        <f t="shared" si="13"/>
        <v>0</v>
      </c>
      <c r="H94" s="761"/>
      <c r="I94" s="761">
        <f t="shared" si="15"/>
        <v>0</v>
      </c>
      <c r="J94" s="761">
        <f t="shared" si="15"/>
        <v>0</v>
      </c>
      <c r="K94" s="761">
        <f t="shared" si="15"/>
        <v>0</v>
      </c>
      <c r="L94" s="761"/>
      <c r="M94" s="604"/>
      <c r="N94" s="604"/>
      <c r="O94" s="604"/>
      <c r="P94" s="761"/>
      <c r="Q94" s="604"/>
      <c r="R94" s="604"/>
      <c r="S94" s="604"/>
    </row>
    <row r="95" spans="1:19" hidden="1">
      <c r="A95" s="780">
        <f t="shared" si="16"/>
        <v>9.1999999999999957</v>
      </c>
      <c r="B95" s="604"/>
      <c r="C95" s="761">
        <f t="shared" si="14"/>
        <v>0</v>
      </c>
      <c r="D95" s="761">
        <f t="shared" si="12"/>
        <v>0</v>
      </c>
      <c r="E95" s="761"/>
      <c r="F95" s="761"/>
      <c r="G95" s="761">
        <f t="shared" si="13"/>
        <v>0</v>
      </c>
      <c r="H95" s="761"/>
      <c r="I95" s="761">
        <f t="shared" si="15"/>
        <v>0</v>
      </c>
      <c r="J95" s="761">
        <f t="shared" si="15"/>
        <v>0</v>
      </c>
      <c r="K95" s="761">
        <f t="shared" si="15"/>
        <v>0</v>
      </c>
      <c r="L95" s="761"/>
      <c r="M95" s="604"/>
      <c r="N95" s="604"/>
      <c r="O95" s="604"/>
      <c r="P95" s="761"/>
      <c r="Q95" s="604"/>
      <c r="R95" s="604"/>
      <c r="S95" s="604"/>
    </row>
    <row r="96" spans="1:19" hidden="1">
      <c r="A96" s="780">
        <f t="shared" si="16"/>
        <v>9.2099999999999955</v>
      </c>
      <c r="B96" s="604"/>
      <c r="C96" s="761">
        <f t="shared" si="14"/>
        <v>0</v>
      </c>
      <c r="D96" s="761">
        <f t="shared" si="12"/>
        <v>0</v>
      </c>
      <c r="E96" s="761"/>
      <c r="F96" s="761"/>
      <c r="G96" s="761">
        <f t="shared" si="13"/>
        <v>0</v>
      </c>
      <c r="H96" s="761"/>
      <c r="I96" s="761">
        <f t="shared" si="15"/>
        <v>0</v>
      </c>
      <c r="J96" s="761">
        <f t="shared" si="15"/>
        <v>0</v>
      </c>
      <c r="K96" s="761">
        <f t="shared" si="15"/>
        <v>0</v>
      </c>
      <c r="L96" s="761"/>
      <c r="M96" s="604"/>
      <c r="N96" s="604"/>
      <c r="O96" s="604"/>
      <c r="P96" s="761"/>
      <c r="Q96" s="604"/>
      <c r="R96" s="604"/>
      <c r="S96" s="604"/>
    </row>
    <row r="97" spans="1:19" hidden="1">
      <c r="A97" s="780">
        <f t="shared" si="16"/>
        <v>9.2199999999999953</v>
      </c>
      <c r="B97" s="604"/>
      <c r="C97" s="761">
        <f t="shared" si="14"/>
        <v>0</v>
      </c>
      <c r="D97" s="761">
        <f t="shared" si="12"/>
        <v>0</v>
      </c>
      <c r="E97" s="761"/>
      <c r="F97" s="761"/>
      <c r="G97" s="761">
        <f t="shared" si="13"/>
        <v>0</v>
      </c>
      <c r="H97" s="761"/>
      <c r="I97" s="761">
        <f t="shared" si="15"/>
        <v>0</v>
      </c>
      <c r="J97" s="761">
        <f t="shared" si="15"/>
        <v>0</v>
      </c>
      <c r="K97" s="761">
        <f t="shared" si="15"/>
        <v>0</v>
      </c>
      <c r="L97" s="761"/>
      <c r="M97" s="604"/>
      <c r="N97" s="604"/>
      <c r="O97" s="604"/>
      <c r="P97" s="761"/>
      <c r="Q97" s="604"/>
      <c r="R97" s="604"/>
      <c r="S97" s="604"/>
    </row>
    <row r="98" spans="1:19" hidden="1">
      <c r="A98" s="780">
        <f t="shared" si="16"/>
        <v>9.2299999999999951</v>
      </c>
      <c r="B98" s="604"/>
      <c r="C98" s="761">
        <f t="shared" si="14"/>
        <v>0</v>
      </c>
      <c r="D98" s="761">
        <f t="shared" si="12"/>
        <v>0</v>
      </c>
      <c r="E98" s="761"/>
      <c r="F98" s="761"/>
      <c r="G98" s="761">
        <f t="shared" si="13"/>
        <v>0</v>
      </c>
      <c r="H98" s="761"/>
      <c r="I98" s="761">
        <f t="shared" si="15"/>
        <v>0</v>
      </c>
      <c r="J98" s="761">
        <f t="shared" si="15"/>
        <v>0</v>
      </c>
      <c r="K98" s="761">
        <f t="shared" si="15"/>
        <v>0</v>
      </c>
      <c r="L98" s="761"/>
      <c r="M98" s="604"/>
      <c r="N98" s="604"/>
      <c r="O98" s="604"/>
      <c r="P98" s="761"/>
      <c r="Q98" s="604"/>
      <c r="R98" s="604"/>
      <c r="S98" s="604"/>
    </row>
    <row r="99" spans="1:19" hidden="1">
      <c r="A99" s="780">
        <f t="shared" si="16"/>
        <v>9.2399999999999949</v>
      </c>
      <c r="B99" s="604"/>
      <c r="C99" s="761">
        <f t="shared" si="14"/>
        <v>0</v>
      </c>
      <c r="D99" s="761">
        <f t="shared" si="12"/>
        <v>0</v>
      </c>
      <c r="E99" s="761"/>
      <c r="F99" s="761"/>
      <c r="G99" s="761">
        <f t="shared" si="13"/>
        <v>0</v>
      </c>
      <c r="H99" s="761"/>
      <c r="I99" s="761">
        <f t="shared" si="15"/>
        <v>0</v>
      </c>
      <c r="J99" s="761">
        <f t="shared" si="15"/>
        <v>0</v>
      </c>
      <c r="K99" s="761">
        <f t="shared" si="15"/>
        <v>0</v>
      </c>
      <c r="L99" s="761"/>
      <c r="M99" s="604"/>
      <c r="N99" s="604"/>
      <c r="O99" s="604"/>
      <c r="P99" s="761"/>
      <c r="Q99" s="604"/>
      <c r="R99" s="604"/>
      <c r="S99" s="604"/>
    </row>
    <row r="100" spans="1:19" hidden="1">
      <c r="A100" s="780">
        <f t="shared" si="16"/>
        <v>9.2499999999999947</v>
      </c>
      <c r="B100" s="604"/>
      <c r="C100" s="761">
        <f t="shared" si="14"/>
        <v>0</v>
      </c>
      <c r="D100" s="761">
        <f t="shared" si="12"/>
        <v>0</v>
      </c>
      <c r="E100" s="761"/>
      <c r="F100" s="761"/>
      <c r="G100" s="761">
        <f>ROUND(SUM(C100:F100)/2,0)</f>
        <v>0</v>
      </c>
      <c r="H100" s="761"/>
      <c r="I100" s="761">
        <f t="shared" si="15"/>
        <v>0</v>
      </c>
      <c r="J100" s="761">
        <f t="shared" si="15"/>
        <v>0</v>
      </c>
      <c r="K100" s="761">
        <f t="shared" si="15"/>
        <v>0</v>
      </c>
      <c r="L100" s="761"/>
      <c r="M100" s="604"/>
      <c r="N100" s="604"/>
      <c r="O100" s="604"/>
      <c r="P100" s="761"/>
      <c r="Q100" s="604"/>
      <c r="R100" s="604"/>
      <c r="S100" s="604"/>
    </row>
    <row r="101" spans="1:19" hidden="1">
      <c r="A101" s="780">
        <f t="shared" si="16"/>
        <v>9.2599999999999945</v>
      </c>
      <c r="B101" s="604"/>
      <c r="C101" s="761">
        <f t="shared" si="14"/>
        <v>0</v>
      </c>
      <c r="D101" s="761">
        <f t="shared" si="12"/>
        <v>0</v>
      </c>
      <c r="E101" s="761"/>
      <c r="F101" s="761"/>
      <c r="G101" s="761">
        <f t="shared" si="13"/>
        <v>0</v>
      </c>
      <c r="H101" s="761"/>
      <c r="I101" s="761">
        <f t="shared" si="15"/>
        <v>0</v>
      </c>
      <c r="J101" s="761">
        <f t="shared" si="15"/>
        <v>0</v>
      </c>
      <c r="K101" s="761">
        <f t="shared" si="15"/>
        <v>0</v>
      </c>
      <c r="L101" s="761"/>
      <c r="M101" s="604"/>
      <c r="N101" s="604"/>
      <c r="O101" s="604"/>
      <c r="P101" s="761"/>
      <c r="Q101" s="604"/>
      <c r="R101" s="604"/>
      <c r="S101" s="604"/>
    </row>
    <row r="102" spans="1:19" hidden="1">
      <c r="A102" s="780">
        <f t="shared" si="16"/>
        <v>9.2699999999999942</v>
      </c>
      <c r="B102" s="604"/>
      <c r="C102" s="761">
        <f t="shared" si="14"/>
        <v>0</v>
      </c>
      <c r="D102" s="761">
        <f t="shared" si="12"/>
        <v>0</v>
      </c>
      <c r="E102" s="761"/>
      <c r="F102" s="761"/>
      <c r="G102" s="761">
        <f t="shared" si="13"/>
        <v>0</v>
      </c>
      <c r="H102" s="761"/>
      <c r="I102" s="761">
        <f t="shared" si="15"/>
        <v>0</v>
      </c>
      <c r="J102" s="761">
        <f t="shared" si="15"/>
        <v>0</v>
      </c>
      <c r="K102" s="761">
        <f t="shared" si="15"/>
        <v>0</v>
      </c>
      <c r="L102" s="761"/>
      <c r="M102" s="604"/>
      <c r="N102" s="604"/>
      <c r="O102" s="604"/>
      <c r="P102" s="761"/>
      <c r="Q102" s="604"/>
      <c r="R102" s="604"/>
      <c r="S102" s="604"/>
    </row>
    <row r="103" spans="1:19" hidden="1">
      <c r="A103" s="780">
        <f t="shared" si="16"/>
        <v>9.279999999999994</v>
      </c>
      <c r="B103" s="604"/>
      <c r="C103" s="761">
        <f t="shared" si="14"/>
        <v>0</v>
      </c>
      <c r="D103" s="761">
        <f t="shared" si="12"/>
        <v>0</v>
      </c>
      <c r="E103" s="761"/>
      <c r="F103" s="761"/>
      <c r="G103" s="761">
        <f>ROUND(SUM(C103:F103)/2,0)</f>
        <v>0</v>
      </c>
      <c r="H103" s="761"/>
      <c r="I103" s="761">
        <f t="shared" si="15"/>
        <v>0</v>
      </c>
      <c r="J103" s="761">
        <f t="shared" si="15"/>
        <v>0</v>
      </c>
      <c r="K103" s="761">
        <f t="shared" si="15"/>
        <v>0</v>
      </c>
      <c r="L103" s="761"/>
      <c r="M103" s="604"/>
      <c r="N103" s="604"/>
      <c r="O103" s="604"/>
      <c r="P103" s="761"/>
      <c r="Q103" s="604"/>
      <c r="R103" s="604"/>
      <c r="S103" s="604"/>
    </row>
    <row r="104" spans="1:19" hidden="1">
      <c r="A104" s="780">
        <f t="shared" si="16"/>
        <v>9.2899999999999938</v>
      </c>
      <c r="B104" s="604"/>
      <c r="C104" s="761">
        <f t="shared" si="14"/>
        <v>0</v>
      </c>
      <c r="D104" s="761">
        <f t="shared" si="12"/>
        <v>0</v>
      </c>
      <c r="E104" s="761"/>
      <c r="F104" s="761"/>
      <c r="G104" s="761">
        <f t="shared" si="13"/>
        <v>0</v>
      </c>
      <c r="H104" s="761"/>
      <c r="I104" s="761">
        <f t="shared" si="15"/>
        <v>0</v>
      </c>
      <c r="J104" s="761">
        <f t="shared" si="15"/>
        <v>0</v>
      </c>
      <c r="K104" s="761">
        <f t="shared" si="15"/>
        <v>0</v>
      </c>
      <c r="L104" s="761"/>
      <c r="M104" s="604"/>
      <c r="N104" s="604"/>
      <c r="O104" s="604"/>
      <c r="P104" s="761"/>
      <c r="Q104" s="604"/>
      <c r="R104" s="604"/>
      <c r="S104" s="604"/>
    </row>
    <row r="105" spans="1:19" hidden="1">
      <c r="A105" s="780">
        <f t="shared" si="16"/>
        <v>9.2999999999999936</v>
      </c>
      <c r="B105" s="604"/>
      <c r="C105" s="761">
        <f t="shared" si="14"/>
        <v>0</v>
      </c>
      <c r="D105" s="761">
        <f t="shared" si="12"/>
        <v>0</v>
      </c>
      <c r="E105" s="761"/>
      <c r="F105" s="761"/>
      <c r="G105" s="761">
        <f t="shared" si="13"/>
        <v>0</v>
      </c>
      <c r="H105" s="761"/>
      <c r="I105" s="761">
        <f t="shared" si="15"/>
        <v>0</v>
      </c>
      <c r="J105" s="761">
        <f t="shared" si="15"/>
        <v>0</v>
      </c>
      <c r="K105" s="761">
        <f t="shared" si="15"/>
        <v>0</v>
      </c>
      <c r="L105" s="761"/>
      <c r="M105" s="604"/>
      <c r="N105" s="604"/>
      <c r="O105" s="604"/>
      <c r="P105" s="761"/>
      <c r="Q105" s="604"/>
      <c r="R105" s="604"/>
      <c r="S105" s="604"/>
    </row>
    <row r="106" spans="1:19" hidden="1">
      <c r="A106" s="780">
        <f t="shared" si="16"/>
        <v>9.3099999999999934</v>
      </c>
      <c r="B106" s="604"/>
      <c r="C106" s="766">
        <f t="shared" si="14"/>
        <v>0</v>
      </c>
      <c r="D106" s="766">
        <f t="shared" si="12"/>
        <v>0</v>
      </c>
      <c r="E106" s="766"/>
      <c r="F106" s="766"/>
      <c r="G106" s="766">
        <f t="shared" si="13"/>
        <v>0</v>
      </c>
      <c r="H106" s="766"/>
      <c r="I106" s="766">
        <f t="shared" si="15"/>
        <v>0</v>
      </c>
      <c r="J106" s="766">
        <f t="shared" si="15"/>
        <v>0</v>
      </c>
      <c r="K106" s="766">
        <f t="shared" si="15"/>
        <v>0</v>
      </c>
      <c r="L106" s="766"/>
      <c r="M106" s="604"/>
      <c r="N106" s="604"/>
      <c r="O106" s="604"/>
      <c r="P106" s="766"/>
      <c r="Q106" s="604"/>
      <c r="R106" s="604"/>
      <c r="S106" s="604"/>
    </row>
    <row r="107" spans="1:19" hidden="1">
      <c r="A107" s="780">
        <f t="shared" si="16"/>
        <v>9.3199999999999932</v>
      </c>
      <c r="B107" s="604"/>
      <c r="C107" s="761">
        <f t="shared" si="14"/>
        <v>0</v>
      </c>
      <c r="D107" s="761">
        <f t="shared" si="12"/>
        <v>0</v>
      </c>
      <c r="E107" s="761"/>
      <c r="F107" s="761"/>
      <c r="G107" s="761">
        <f t="shared" si="13"/>
        <v>0</v>
      </c>
      <c r="H107" s="761"/>
      <c r="I107" s="761">
        <f t="shared" si="15"/>
        <v>0</v>
      </c>
      <c r="J107" s="761">
        <f t="shared" si="15"/>
        <v>0</v>
      </c>
      <c r="K107" s="761">
        <f t="shared" si="15"/>
        <v>0</v>
      </c>
      <c r="L107" s="761"/>
      <c r="M107" s="604"/>
      <c r="N107" s="604"/>
      <c r="O107" s="604"/>
      <c r="P107" s="761"/>
      <c r="Q107" s="604"/>
      <c r="R107" s="604"/>
      <c r="S107" s="604"/>
    </row>
    <row r="108" spans="1:19" hidden="1">
      <c r="A108" s="780">
        <f t="shared" si="16"/>
        <v>9.329999999999993</v>
      </c>
      <c r="B108" s="604"/>
      <c r="C108" s="761">
        <f t="shared" si="14"/>
        <v>0</v>
      </c>
      <c r="D108" s="761">
        <f t="shared" si="12"/>
        <v>0</v>
      </c>
      <c r="E108" s="761"/>
      <c r="F108" s="761"/>
      <c r="G108" s="761">
        <f t="shared" si="13"/>
        <v>0</v>
      </c>
      <c r="H108" s="761"/>
      <c r="I108" s="761">
        <f t="shared" si="15"/>
        <v>0</v>
      </c>
      <c r="J108" s="761">
        <f t="shared" si="15"/>
        <v>0</v>
      </c>
      <c r="K108" s="761">
        <f t="shared" si="15"/>
        <v>0</v>
      </c>
      <c r="L108" s="761"/>
      <c r="M108" s="604"/>
      <c r="N108" s="604"/>
      <c r="O108" s="604"/>
      <c r="P108" s="761"/>
      <c r="Q108" s="604"/>
      <c r="R108" s="604"/>
      <c r="S108" s="604"/>
    </row>
    <row r="109" spans="1:19" hidden="1">
      <c r="A109" s="780">
        <f t="shared" si="16"/>
        <v>9.3399999999999928</v>
      </c>
      <c r="B109" s="604"/>
      <c r="C109" s="761">
        <f t="shared" si="14"/>
        <v>0</v>
      </c>
      <c r="D109" s="761">
        <f t="shared" si="12"/>
        <v>0</v>
      </c>
      <c r="E109" s="761"/>
      <c r="F109" s="761"/>
      <c r="G109" s="761">
        <f t="shared" si="13"/>
        <v>0</v>
      </c>
      <c r="H109" s="761"/>
      <c r="I109" s="761">
        <f t="shared" si="15"/>
        <v>0</v>
      </c>
      <c r="J109" s="761">
        <f t="shared" si="15"/>
        <v>0</v>
      </c>
      <c r="K109" s="761">
        <f t="shared" si="15"/>
        <v>0</v>
      </c>
      <c r="L109" s="761"/>
      <c r="M109" s="604"/>
      <c r="N109" s="604"/>
      <c r="O109" s="604"/>
      <c r="P109" s="761"/>
      <c r="Q109" s="604"/>
      <c r="R109" s="604"/>
      <c r="S109" s="604"/>
    </row>
    <row r="110" spans="1:19" hidden="1">
      <c r="A110" s="780">
        <f t="shared" si="16"/>
        <v>9.3499999999999925</v>
      </c>
      <c r="B110" s="604"/>
      <c r="C110" s="761">
        <f t="shared" si="14"/>
        <v>0</v>
      </c>
      <c r="D110" s="761">
        <f t="shared" si="12"/>
        <v>0</v>
      </c>
      <c r="E110" s="761"/>
      <c r="F110" s="761"/>
      <c r="G110" s="761">
        <f t="shared" si="13"/>
        <v>0</v>
      </c>
      <c r="H110" s="761"/>
      <c r="I110" s="761">
        <f t="shared" si="15"/>
        <v>0</v>
      </c>
      <c r="J110" s="761">
        <f t="shared" si="15"/>
        <v>0</v>
      </c>
      <c r="K110" s="761">
        <f t="shared" si="15"/>
        <v>0</v>
      </c>
      <c r="L110" s="761"/>
      <c r="M110" s="604"/>
      <c r="N110" s="604"/>
      <c r="O110" s="604"/>
      <c r="P110" s="761"/>
      <c r="Q110" s="604"/>
      <c r="R110" s="604"/>
      <c r="S110" s="604"/>
    </row>
    <row r="111" spans="1:19" hidden="1">
      <c r="A111" s="780">
        <f t="shared" si="16"/>
        <v>9.3599999999999923</v>
      </c>
      <c r="B111" s="604"/>
      <c r="C111" s="761">
        <f t="shared" si="14"/>
        <v>0</v>
      </c>
      <c r="D111" s="761">
        <f t="shared" si="12"/>
        <v>0</v>
      </c>
      <c r="E111" s="761"/>
      <c r="F111" s="761"/>
      <c r="G111" s="761">
        <f t="shared" si="13"/>
        <v>0</v>
      </c>
      <c r="H111" s="761"/>
      <c r="I111" s="761">
        <f t="shared" si="15"/>
        <v>0</v>
      </c>
      <c r="J111" s="761">
        <f t="shared" si="15"/>
        <v>0</v>
      </c>
      <c r="K111" s="761">
        <f t="shared" si="15"/>
        <v>0</v>
      </c>
      <c r="L111" s="761"/>
      <c r="M111" s="604"/>
      <c r="N111" s="604"/>
      <c r="O111" s="604"/>
      <c r="P111" s="761"/>
      <c r="Q111" s="604"/>
      <c r="R111" s="604"/>
      <c r="S111" s="604"/>
    </row>
    <row r="112" spans="1:19" hidden="1">
      <c r="A112" s="780">
        <f t="shared" si="16"/>
        <v>9.3699999999999921</v>
      </c>
      <c r="B112" s="604"/>
      <c r="C112" s="761">
        <f t="shared" si="14"/>
        <v>0</v>
      </c>
      <c r="D112" s="761">
        <f t="shared" si="12"/>
        <v>0</v>
      </c>
      <c r="E112" s="761"/>
      <c r="F112" s="761"/>
      <c r="G112" s="761">
        <f t="shared" si="13"/>
        <v>0</v>
      </c>
      <c r="H112" s="761"/>
      <c r="I112" s="761">
        <f t="shared" si="15"/>
        <v>0</v>
      </c>
      <c r="J112" s="761">
        <f t="shared" si="15"/>
        <v>0</v>
      </c>
      <c r="K112" s="761">
        <f t="shared" si="15"/>
        <v>0</v>
      </c>
      <c r="L112" s="761"/>
      <c r="M112" s="604"/>
      <c r="N112" s="604"/>
      <c r="O112" s="604"/>
      <c r="P112" s="761"/>
      <c r="Q112" s="604"/>
      <c r="R112" s="604"/>
      <c r="S112" s="604"/>
    </row>
    <row r="113" spans="1:19" hidden="1">
      <c r="A113" s="780">
        <f t="shared" si="16"/>
        <v>9.3799999999999919</v>
      </c>
      <c r="B113" s="604"/>
      <c r="C113" s="761">
        <f t="shared" si="14"/>
        <v>0</v>
      </c>
      <c r="D113" s="761">
        <f t="shared" si="12"/>
        <v>0</v>
      </c>
      <c r="E113" s="761"/>
      <c r="F113" s="761"/>
      <c r="G113" s="761">
        <f t="shared" si="13"/>
        <v>0</v>
      </c>
      <c r="H113" s="761"/>
      <c r="I113" s="761">
        <f t="shared" si="15"/>
        <v>0</v>
      </c>
      <c r="J113" s="761">
        <f t="shared" si="15"/>
        <v>0</v>
      </c>
      <c r="K113" s="761">
        <f t="shared" si="15"/>
        <v>0</v>
      </c>
      <c r="L113" s="761"/>
      <c r="M113" s="604"/>
      <c r="N113" s="604"/>
      <c r="O113" s="604"/>
      <c r="P113" s="761"/>
      <c r="Q113" s="604"/>
      <c r="R113" s="604"/>
      <c r="S113" s="604"/>
    </row>
    <row r="114" spans="1:19" hidden="1">
      <c r="A114" s="780">
        <f t="shared" si="16"/>
        <v>9.3899999999999917</v>
      </c>
      <c r="B114" s="604"/>
      <c r="C114" s="761">
        <f t="shared" si="14"/>
        <v>0</v>
      </c>
      <c r="D114" s="761">
        <f t="shared" si="12"/>
        <v>0</v>
      </c>
      <c r="E114" s="761"/>
      <c r="F114" s="761"/>
      <c r="G114" s="761">
        <f t="shared" si="13"/>
        <v>0</v>
      </c>
      <c r="H114" s="761"/>
      <c r="I114" s="761">
        <f t="shared" si="15"/>
        <v>0</v>
      </c>
      <c r="J114" s="761">
        <f t="shared" si="15"/>
        <v>0</v>
      </c>
      <c r="K114" s="761">
        <f t="shared" si="15"/>
        <v>0</v>
      </c>
      <c r="L114" s="761"/>
      <c r="M114" s="604"/>
      <c r="N114" s="604"/>
      <c r="O114" s="604"/>
      <c r="P114" s="761"/>
      <c r="Q114" s="604"/>
      <c r="R114" s="604"/>
      <c r="S114" s="604"/>
    </row>
    <row r="115" spans="1:19" hidden="1">
      <c r="A115" s="780">
        <f t="shared" si="16"/>
        <v>9.3999999999999915</v>
      </c>
      <c r="B115" s="604"/>
      <c r="C115" s="761">
        <f t="shared" si="14"/>
        <v>0</v>
      </c>
      <c r="D115" s="761">
        <f t="shared" si="12"/>
        <v>0</v>
      </c>
      <c r="E115" s="761"/>
      <c r="F115" s="761"/>
      <c r="G115" s="761">
        <f t="shared" si="13"/>
        <v>0</v>
      </c>
      <c r="H115" s="761"/>
      <c r="I115" s="761">
        <f t="shared" si="15"/>
        <v>0</v>
      </c>
      <c r="J115" s="761">
        <f t="shared" si="15"/>
        <v>0</v>
      </c>
      <c r="K115" s="761">
        <f t="shared" si="15"/>
        <v>0</v>
      </c>
      <c r="L115" s="761"/>
      <c r="M115" s="604"/>
      <c r="N115" s="604"/>
      <c r="O115" s="604"/>
      <c r="P115" s="761"/>
      <c r="Q115" s="604"/>
      <c r="R115" s="604"/>
      <c r="S115" s="604"/>
    </row>
    <row r="116" spans="1:19" hidden="1">
      <c r="A116" s="780">
        <f t="shared" si="16"/>
        <v>9.4099999999999913</v>
      </c>
      <c r="B116" s="604"/>
      <c r="C116" s="761">
        <f t="shared" si="14"/>
        <v>0</v>
      </c>
      <c r="D116" s="761">
        <f t="shared" si="12"/>
        <v>0</v>
      </c>
      <c r="E116" s="761"/>
      <c r="F116" s="761"/>
      <c r="G116" s="761">
        <f t="shared" si="13"/>
        <v>0</v>
      </c>
      <c r="H116" s="761"/>
      <c r="I116" s="761">
        <f t="shared" si="15"/>
        <v>0</v>
      </c>
      <c r="J116" s="761">
        <f t="shared" si="15"/>
        <v>0</v>
      </c>
      <c r="K116" s="761">
        <f t="shared" si="15"/>
        <v>0</v>
      </c>
      <c r="L116" s="761"/>
      <c r="M116" s="604"/>
      <c r="N116" s="604"/>
      <c r="O116" s="604"/>
      <c r="P116" s="761"/>
      <c r="Q116" s="604"/>
      <c r="R116" s="604"/>
      <c r="S116" s="604"/>
    </row>
    <row r="117" spans="1:19" hidden="1">
      <c r="A117" s="780">
        <f t="shared" si="16"/>
        <v>9.419999999999991</v>
      </c>
      <c r="B117" s="604"/>
      <c r="C117" s="761">
        <f t="shared" si="14"/>
        <v>0</v>
      </c>
      <c r="D117" s="761">
        <f t="shared" si="12"/>
        <v>0</v>
      </c>
      <c r="E117" s="761"/>
      <c r="F117" s="761"/>
      <c r="G117" s="761">
        <f t="shared" si="13"/>
        <v>0</v>
      </c>
      <c r="H117" s="761"/>
      <c r="I117" s="761">
        <f t="shared" si="15"/>
        <v>0</v>
      </c>
      <c r="J117" s="761">
        <f t="shared" si="15"/>
        <v>0</v>
      </c>
      <c r="K117" s="761">
        <f t="shared" si="15"/>
        <v>0</v>
      </c>
      <c r="L117" s="761"/>
      <c r="M117" s="604"/>
      <c r="N117" s="604"/>
      <c r="O117" s="604"/>
      <c r="P117" s="761"/>
      <c r="Q117" s="604"/>
      <c r="R117" s="604"/>
      <c r="S117" s="604"/>
    </row>
    <row r="118" spans="1:19" hidden="1">
      <c r="A118" s="780">
        <f t="shared" si="16"/>
        <v>9.4299999999999908</v>
      </c>
      <c r="B118" s="604"/>
      <c r="C118" s="761">
        <f t="shared" si="14"/>
        <v>0</v>
      </c>
      <c r="D118" s="761">
        <f t="shared" si="12"/>
        <v>0</v>
      </c>
      <c r="E118" s="761"/>
      <c r="F118" s="761"/>
      <c r="G118" s="761">
        <f t="shared" si="13"/>
        <v>0</v>
      </c>
      <c r="H118" s="761"/>
      <c r="I118" s="761">
        <f t="shared" si="15"/>
        <v>0</v>
      </c>
      <c r="J118" s="761">
        <f t="shared" si="15"/>
        <v>0</v>
      </c>
      <c r="K118" s="761">
        <f t="shared" si="15"/>
        <v>0</v>
      </c>
      <c r="L118" s="761"/>
      <c r="M118" s="604"/>
      <c r="N118" s="604"/>
      <c r="O118" s="604"/>
      <c r="P118" s="761"/>
      <c r="Q118" s="604"/>
      <c r="R118" s="604"/>
      <c r="S118" s="604"/>
    </row>
    <row r="119" spans="1:19" hidden="1">
      <c r="A119" s="780">
        <f t="shared" si="16"/>
        <v>9.4399999999999906</v>
      </c>
      <c r="B119" s="604"/>
      <c r="C119" s="761">
        <f t="shared" si="14"/>
        <v>0</v>
      </c>
      <c r="D119" s="761">
        <f t="shared" si="12"/>
        <v>0</v>
      </c>
      <c r="E119" s="761"/>
      <c r="F119" s="761"/>
      <c r="G119" s="761">
        <f t="shared" si="13"/>
        <v>0</v>
      </c>
      <c r="H119" s="761"/>
      <c r="I119" s="761">
        <f t="shared" si="15"/>
        <v>0</v>
      </c>
      <c r="J119" s="761">
        <f t="shared" si="15"/>
        <v>0</v>
      </c>
      <c r="K119" s="761">
        <f t="shared" si="15"/>
        <v>0</v>
      </c>
      <c r="L119" s="761"/>
      <c r="M119" s="604"/>
      <c r="N119" s="604"/>
      <c r="O119" s="604"/>
      <c r="P119" s="761"/>
      <c r="Q119" s="604"/>
      <c r="R119" s="604"/>
      <c r="S119" s="604"/>
    </row>
    <row r="120" spans="1:19" hidden="1">
      <c r="A120" s="780">
        <f t="shared" si="16"/>
        <v>9.4499999999999904</v>
      </c>
      <c r="B120" s="604"/>
      <c r="C120" s="761">
        <f t="shared" si="14"/>
        <v>0</v>
      </c>
      <c r="D120" s="761">
        <f t="shared" si="12"/>
        <v>0</v>
      </c>
      <c r="E120" s="761"/>
      <c r="F120" s="761"/>
      <c r="G120" s="761">
        <f t="shared" si="13"/>
        <v>0</v>
      </c>
      <c r="H120" s="761"/>
      <c r="I120" s="761">
        <f t="shared" si="15"/>
        <v>0</v>
      </c>
      <c r="J120" s="761">
        <f t="shared" si="15"/>
        <v>0</v>
      </c>
      <c r="K120" s="761">
        <f t="shared" si="15"/>
        <v>0</v>
      </c>
      <c r="L120" s="761"/>
      <c r="M120" s="604"/>
      <c r="N120" s="604"/>
      <c r="O120" s="604"/>
      <c r="P120" s="761"/>
      <c r="Q120" s="604"/>
      <c r="R120" s="604"/>
      <c r="S120" s="604"/>
    </row>
    <row r="121" spans="1:19" hidden="1">
      <c r="A121" s="780">
        <f t="shared" si="16"/>
        <v>9.4599999999999902</v>
      </c>
      <c r="B121" s="604"/>
      <c r="C121" s="761">
        <f t="shared" si="14"/>
        <v>0</v>
      </c>
      <c r="D121" s="761">
        <f t="shared" si="12"/>
        <v>0</v>
      </c>
      <c r="E121" s="761"/>
      <c r="F121" s="761"/>
      <c r="G121" s="761">
        <f t="shared" si="13"/>
        <v>0</v>
      </c>
      <c r="H121" s="761"/>
      <c r="I121" s="761">
        <f t="shared" si="15"/>
        <v>0</v>
      </c>
      <c r="J121" s="761">
        <f t="shared" si="15"/>
        <v>0</v>
      </c>
      <c r="K121" s="761">
        <f t="shared" si="15"/>
        <v>0</v>
      </c>
      <c r="L121" s="761"/>
      <c r="M121" s="604"/>
      <c r="N121" s="604"/>
      <c r="O121" s="604"/>
      <c r="P121" s="761"/>
      <c r="Q121" s="604"/>
      <c r="R121" s="604"/>
      <c r="S121" s="604"/>
    </row>
    <row r="122" spans="1:19" hidden="1">
      <c r="A122" s="780">
        <f t="shared" si="16"/>
        <v>9.46999999999999</v>
      </c>
      <c r="B122" s="604"/>
      <c r="C122" s="761">
        <f t="shared" si="14"/>
        <v>0</v>
      </c>
      <c r="D122" s="761">
        <f t="shared" si="12"/>
        <v>0</v>
      </c>
      <c r="E122" s="761"/>
      <c r="F122" s="761"/>
      <c r="G122" s="761">
        <f t="shared" si="13"/>
        <v>0</v>
      </c>
      <c r="H122" s="761"/>
      <c r="I122" s="761">
        <f t="shared" si="15"/>
        <v>0</v>
      </c>
      <c r="J122" s="761">
        <f t="shared" si="15"/>
        <v>0</v>
      </c>
      <c r="K122" s="761">
        <f t="shared" si="15"/>
        <v>0</v>
      </c>
      <c r="L122" s="761"/>
      <c r="M122" s="604"/>
      <c r="N122" s="604"/>
      <c r="O122" s="604"/>
      <c r="P122" s="761"/>
      <c r="Q122" s="604"/>
      <c r="R122" s="604"/>
      <c r="S122" s="604"/>
    </row>
    <row r="123" spans="1:19" hidden="1">
      <c r="A123" s="780">
        <f t="shared" si="16"/>
        <v>9.4799999999999898</v>
      </c>
      <c r="B123" s="604"/>
      <c r="C123" s="761">
        <f t="shared" si="14"/>
        <v>0</v>
      </c>
      <c r="D123" s="761">
        <f t="shared" si="12"/>
        <v>0</v>
      </c>
      <c r="E123" s="761"/>
      <c r="F123" s="761"/>
      <c r="G123" s="761">
        <f t="shared" si="13"/>
        <v>0</v>
      </c>
      <c r="H123" s="761"/>
      <c r="I123" s="761">
        <f t="shared" si="15"/>
        <v>0</v>
      </c>
      <c r="J123" s="761">
        <f t="shared" si="15"/>
        <v>0</v>
      </c>
      <c r="K123" s="761">
        <f t="shared" si="15"/>
        <v>0</v>
      </c>
      <c r="L123" s="761"/>
      <c r="M123" s="604"/>
      <c r="N123" s="604"/>
      <c r="O123" s="604"/>
      <c r="P123" s="761"/>
      <c r="Q123" s="604"/>
      <c r="R123" s="604"/>
      <c r="S123" s="604"/>
    </row>
    <row r="124" spans="1:19" hidden="1">
      <c r="A124" s="780">
        <f t="shared" si="16"/>
        <v>9.4899999999999896</v>
      </c>
      <c r="B124" s="604"/>
      <c r="C124" s="761">
        <f t="shared" si="14"/>
        <v>0</v>
      </c>
      <c r="D124" s="761">
        <f t="shared" si="12"/>
        <v>0</v>
      </c>
      <c r="E124" s="761"/>
      <c r="F124" s="761"/>
      <c r="G124" s="761">
        <f t="shared" si="13"/>
        <v>0</v>
      </c>
      <c r="H124" s="761"/>
      <c r="I124" s="761">
        <f t="shared" si="15"/>
        <v>0</v>
      </c>
      <c r="J124" s="761">
        <f t="shared" si="15"/>
        <v>0</v>
      </c>
      <c r="K124" s="761">
        <f t="shared" si="15"/>
        <v>0</v>
      </c>
      <c r="L124" s="761"/>
      <c r="M124" s="604"/>
      <c r="N124" s="604"/>
      <c r="O124" s="604"/>
      <c r="P124" s="761"/>
      <c r="Q124" s="604"/>
      <c r="R124" s="604"/>
      <c r="S124" s="604"/>
    </row>
    <row r="125" spans="1:19" hidden="1">
      <c r="A125" s="780">
        <f t="shared" si="16"/>
        <v>9.4999999999999893</v>
      </c>
      <c r="B125" s="604"/>
      <c r="C125" s="761">
        <f t="shared" si="14"/>
        <v>0</v>
      </c>
      <c r="D125" s="761">
        <f t="shared" si="12"/>
        <v>0</v>
      </c>
      <c r="E125" s="761"/>
      <c r="F125" s="761"/>
      <c r="G125" s="761">
        <f t="shared" si="13"/>
        <v>0</v>
      </c>
      <c r="H125" s="761"/>
      <c r="I125" s="761">
        <f t="shared" si="15"/>
        <v>0</v>
      </c>
      <c r="J125" s="761">
        <f t="shared" si="15"/>
        <v>0</v>
      </c>
      <c r="K125" s="761">
        <f t="shared" si="15"/>
        <v>0</v>
      </c>
      <c r="L125" s="761"/>
      <c r="M125" s="604"/>
      <c r="N125" s="604"/>
      <c r="O125" s="604"/>
      <c r="P125" s="761"/>
      <c r="Q125" s="604"/>
      <c r="R125" s="604"/>
      <c r="S125" s="604"/>
    </row>
    <row r="126" spans="1:19" hidden="1">
      <c r="A126" s="780">
        <f t="shared" si="16"/>
        <v>9.5099999999999891</v>
      </c>
      <c r="B126" s="604"/>
      <c r="C126" s="761">
        <f t="shared" si="14"/>
        <v>0</v>
      </c>
      <c r="D126" s="761">
        <f t="shared" si="12"/>
        <v>0</v>
      </c>
      <c r="E126" s="761"/>
      <c r="F126" s="761"/>
      <c r="G126" s="761">
        <f t="shared" si="13"/>
        <v>0</v>
      </c>
      <c r="H126" s="761"/>
      <c r="I126" s="761">
        <f t="shared" si="15"/>
        <v>0</v>
      </c>
      <c r="J126" s="761">
        <f t="shared" si="15"/>
        <v>0</v>
      </c>
      <c r="K126" s="761">
        <f t="shared" si="15"/>
        <v>0</v>
      </c>
      <c r="L126" s="761"/>
      <c r="M126" s="604"/>
      <c r="N126" s="604"/>
      <c r="O126" s="604"/>
      <c r="P126" s="761"/>
      <c r="Q126" s="604"/>
      <c r="R126" s="604"/>
      <c r="S126" s="604"/>
    </row>
    <row r="127" spans="1:19" hidden="1">
      <c r="A127" s="780">
        <f t="shared" si="16"/>
        <v>9.5199999999999889</v>
      </c>
      <c r="B127" s="604"/>
      <c r="C127" s="761">
        <f t="shared" si="14"/>
        <v>0</v>
      </c>
      <c r="D127" s="761">
        <f t="shared" si="12"/>
        <v>0</v>
      </c>
      <c r="E127" s="761"/>
      <c r="F127" s="761"/>
      <c r="G127" s="761">
        <f t="shared" si="13"/>
        <v>0</v>
      </c>
      <c r="H127" s="761"/>
      <c r="I127" s="761">
        <f t="shared" si="15"/>
        <v>0</v>
      </c>
      <c r="J127" s="761">
        <f t="shared" si="15"/>
        <v>0</v>
      </c>
      <c r="K127" s="761">
        <f t="shared" si="15"/>
        <v>0</v>
      </c>
      <c r="L127" s="761"/>
      <c r="M127" s="604"/>
      <c r="N127" s="604"/>
      <c r="O127" s="604"/>
      <c r="P127" s="761"/>
      <c r="Q127" s="604"/>
      <c r="R127" s="604"/>
      <c r="S127" s="604"/>
    </row>
    <row r="128" spans="1:19" hidden="1">
      <c r="A128" s="780">
        <f t="shared" si="16"/>
        <v>9.5299999999999887</v>
      </c>
      <c r="B128" s="604"/>
      <c r="C128" s="761">
        <f t="shared" si="14"/>
        <v>0</v>
      </c>
      <c r="D128" s="761">
        <f t="shared" si="12"/>
        <v>0</v>
      </c>
      <c r="E128" s="761"/>
      <c r="F128" s="761"/>
      <c r="G128" s="761">
        <f t="shared" si="13"/>
        <v>0</v>
      </c>
      <c r="H128" s="761"/>
      <c r="I128" s="761">
        <f t="shared" si="15"/>
        <v>0</v>
      </c>
      <c r="J128" s="761">
        <f t="shared" si="15"/>
        <v>0</v>
      </c>
      <c r="K128" s="761">
        <f t="shared" si="15"/>
        <v>0</v>
      </c>
      <c r="L128" s="761"/>
      <c r="M128" s="604"/>
      <c r="N128" s="604"/>
      <c r="O128" s="604"/>
      <c r="P128" s="761"/>
      <c r="Q128" s="604"/>
      <c r="R128" s="604"/>
      <c r="S128" s="604"/>
    </row>
    <row r="129" spans="1:19" hidden="1">
      <c r="A129" s="780">
        <f t="shared" si="16"/>
        <v>9.5399999999999885</v>
      </c>
      <c r="B129" s="604"/>
      <c r="C129" s="761">
        <f t="shared" si="14"/>
        <v>0</v>
      </c>
      <c r="D129" s="761">
        <f t="shared" si="12"/>
        <v>0</v>
      </c>
      <c r="E129" s="761"/>
      <c r="F129" s="761"/>
      <c r="G129" s="761">
        <f t="shared" si="13"/>
        <v>0</v>
      </c>
      <c r="H129" s="761"/>
      <c r="I129" s="761">
        <f t="shared" si="15"/>
        <v>0</v>
      </c>
      <c r="J129" s="761">
        <f t="shared" si="15"/>
        <v>0</v>
      </c>
      <c r="K129" s="761">
        <f t="shared" si="15"/>
        <v>0</v>
      </c>
      <c r="L129" s="761"/>
      <c r="M129" s="604"/>
      <c r="N129" s="604"/>
      <c r="O129" s="604"/>
      <c r="P129" s="761"/>
      <c r="Q129" s="604"/>
      <c r="R129" s="604"/>
      <c r="S129" s="604"/>
    </row>
    <row r="130" spans="1:19" hidden="1">
      <c r="A130" s="780">
        <f t="shared" si="16"/>
        <v>9.5499999999999883</v>
      </c>
      <c r="B130" s="604"/>
      <c r="C130" s="761">
        <f t="shared" si="14"/>
        <v>0</v>
      </c>
      <c r="D130" s="761">
        <f t="shared" si="12"/>
        <v>0</v>
      </c>
      <c r="E130" s="761"/>
      <c r="F130" s="761"/>
      <c r="G130" s="761">
        <f t="shared" si="13"/>
        <v>0</v>
      </c>
      <c r="H130" s="761"/>
      <c r="I130" s="761">
        <f t="shared" si="15"/>
        <v>0</v>
      </c>
      <c r="J130" s="761">
        <f t="shared" si="15"/>
        <v>0</v>
      </c>
      <c r="K130" s="761">
        <f t="shared" si="15"/>
        <v>0</v>
      </c>
      <c r="L130" s="761"/>
      <c r="M130" s="604"/>
      <c r="N130" s="604"/>
      <c r="O130" s="604"/>
      <c r="P130" s="761"/>
      <c r="Q130" s="604"/>
      <c r="R130" s="604"/>
      <c r="S130" s="604"/>
    </row>
    <row r="131" spans="1:19" hidden="1">
      <c r="A131" s="780">
        <f t="shared" si="16"/>
        <v>9.5599999999999881</v>
      </c>
      <c r="B131" s="604"/>
      <c r="C131" s="761">
        <f t="shared" si="14"/>
        <v>0</v>
      </c>
      <c r="D131" s="761">
        <f t="shared" si="12"/>
        <v>0</v>
      </c>
      <c r="E131" s="761"/>
      <c r="F131" s="761"/>
      <c r="G131" s="761">
        <f>ROUND(SUM(C131:F131)/2,0)</f>
        <v>0</v>
      </c>
      <c r="H131" s="761"/>
      <c r="I131" s="761">
        <f t="shared" si="15"/>
        <v>0</v>
      </c>
      <c r="J131" s="761">
        <f t="shared" si="15"/>
        <v>0</v>
      </c>
      <c r="K131" s="761">
        <f t="shared" si="15"/>
        <v>0</v>
      </c>
      <c r="L131" s="761"/>
      <c r="M131" s="604"/>
      <c r="N131" s="604"/>
      <c r="O131" s="604"/>
      <c r="P131" s="761"/>
      <c r="Q131" s="604"/>
      <c r="R131" s="604"/>
      <c r="S131" s="604"/>
    </row>
    <row r="132" spans="1:19" hidden="1">
      <c r="A132" s="780">
        <f t="shared" si="16"/>
        <v>9.5699999999999878</v>
      </c>
      <c r="B132" s="604"/>
      <c r="C132" s="761">
        <f t="shared" si="14"/>
        <v>0</v>
      </c>
      <c r="D132" s="761">
        <f t="shared" si="12"/>
        <v>0</v>
      </c>
      <c r="E132" s="761"/>
      <c r="F132" s="761"/>
      <c r="G132" s="761">
        <f>ROUND(SUM(C132:F132)/2,0)</f>
        <v>0</v>
      </c>
      <c r="H132" s="761"/>
      <c r="I132" s="761">
        <f t="shared" si="15"/>
        <v>0</v>
      </c>
      <c r="J132" s="761">
        <f t="shared" si="15"/>
        <v>0</v>
      </c>
      <c r="K132" s="761">
        <f t="shared" si="15"/>
        <v>0</v>
      </c>
      <c r="L132" s="761"/>
      <c r="M132" s="604"/>
      <c r="N132" s="604"/>
      <c r="O132" s="604"/>
      <c r="P132" s="761"/>
      <c r="Q132" s="604"/>
      <c r="R132" s="604"/>
      <c r="S132" s="604"/>
    </row>
    <row r="133" spans="1:19" hidden="1">
      <c r="A133" s="780">
        <f t="shared" si="16"/>
        <v>9.5799999999999876</v>
      </c>
      <c r="B133" s="604"/>
      <c r="C133" s="761">
        <f t="shared" si="14"/>
        <v>0</v>
      </c>
      <c r="D133" s="761">
        <f t="shared" si="12"/>
        <v>0</v>
      </c>
      <c r="E133" s="761"/>
      <c r="F133" s="761"/>
      <c r="G133" s="761">
        <f>ROUND(SUM(C133:F133)/2,0)</f>
        <v>0</v>
      </c>
      <c r="H133" s="761"/>
      <c r="I133" s="761">
        <f t="shared" si="15"/>
        <v>0</v>
      </c>
      <c r="J133" s="761">
        <f t="shared" si="15"/>
        <v>0</v>
      </c>
      <c r="K133" s="761">
        <f t="shared" si="15"/>
        <v>0</v>
      </c>
      <c r="L133" s="761"/>
      <c r="M133" s="604"/>
      <c r="N133" s="604"/>
      <c r="O133" s="604"/>
      <c r="P133" s="761"/>
      <c r="Q133" s="604"/>
      <c r="R133" s="604"/>
      <c r="S133" s="604"/>
    </row>
    <row r="134" spans="1:19" hidden="1">
      <c r="A134" s="780">
        <f t="shared" si="16"/>
        <v>9.5899999999999874</v>
      </c>
      <c r="B134" s="604"/>
      <c r="C134" s="761">
        <f t="shared" si="14"/>
        <v>0</v>
      </c>
      <c r="D134" s="761">
        <f t="shared" si="12"/>
        <v>0</v>
      </c>
      <c r="E134" s="761"/>
      <c r="F134" s="761"/>
      <c r="G134" s="761">
        <f t="shared" ref="G134:G174" si="17">ROUND(SUM(C134:F134)/2,0)</f>
        <v>0</v>
      </c>
      <c r="H134" s="761"/>
      <c r="I134" s="761">
        <f t="shared" si="15"/>
        <v>0</v>
      </c>
      <c r="J134" s="761">
        <f t="shared" si="15"/>
        <v>0</v>
      </c>
      <c r="K134" s="761">
        <f t="shared" si="15"/>
        <v>0</v>
      </c>
      <c r="L134" s="761"/>
      <c r="M134" s="604"/>
      <c r="N134" s="604"/>
      <c r="O134" s="604"/>
      <c r="P134" s="761"/>
      <c r="Q134" s="604"/>
      <c r="R134" s="604"/>
      <c r="S134" s="604"/>
    </row>
    <row r="135" spans="1:19" hidden="1">
      <c r="A135" s="780">
        <f t="shared" si="16"/>
        <v>9.5999999999999872</v>
      </c>
      <c r="B135" s="604"/>
      <c r="C135" s="761">
        <f t="shared" si="14"/>
        <v>0</v>
      </c>
      <c r="D135" s="761">
        <f t="shared" si="12"/>
        <v>0</v>
      </c>
      <c r="E135" s="761"/>
      <c r="F135" s="761"/>
      <c r="G135" s="761">
        <f t="shared" si="17"/>
        <v>0</v>
      </c>
      <c r="H135" s="761"/>
      <c r="I135" s="761">
        <f t="shared" si="15"/>
        <v>0</v>
      </c>
      <c r="J135" s="761">
        <f t="shared" si="15"/>
        <v>0</v>
      </c>
      <c r="K135" s="761">
        <f t="shared" si="15"/>
        <v>0</v>
      </c>
      <c r="L135" s="761"/>
      <c r="M135" s="604"/>
      <c r="N135" s="604"/>
      <c r="O135" s="604"/>
      <c r="P135" s="761"/>
      <c r="Q135" s="604"/>
      <c r="R135" s="604"/>
      <c r="S135" s="604"/>
    </row>
    <row r="136" spans="1:19" hidden="1">
      <c r="A136" s="780">
        <f t="shared" si="16"/>
        <v>9.609999999999987</v>
      </c>
      <c r="B136" s="604"/>
      <c r="C136" s="761">
        <f t="shared" si="14"/>
        <v>0</v>
      </c>
      <c r="D136" s="761">
        <f t="shared" si="12"/>
        <v>0</v>
      </c>
      <c r="E136" s="761"/>
      <c r="F136" s="761"/>
      <c r="G136" s="761">
        <f t="shared" si="17"/>
        <v>0</v>
      </c>
      <c r="H136" s="761"/>
      <c r="I136" s="761">
        <f t="shared" si="15"/>
        <v>0</v>
      </c>
      <c r="J136" s="761">
        <f t="shared" si="15"/>
        <v>0</v>
      </c>
      <c r="K136" s="761">
        <f t="shared" si="15"/>
        <v>0</v>
      </c>
      <c r="L136" s="761"/>
      <c r="M136" s="604"/>
      <c r="N136" s="604"/>
      <c r="O136" s="604"/>
      <c r="P136" s="761"/>
      <c r="Q136" s="604"/>
      <c r="R136" s="604"/>
      <c r="S136" s="604"/>
    </row>
    <row r="137" spans="1:19" hidden="1">
      <c r="A137" s="780">
        <f t="shared" si="16"/>
        <v>9.6199999999999868</v>
      </c>
      <c r="B137" s="604"/>
      <c r="C137" s="761">
        <f t="shared" si="14"/>
        <v>0</v>
      </c>
      <c r="D137" s="761">
        <f t="shared" si="12"/>
        <v>0</v>
      </c>
      <c r="E137" s="761"/>
      <c r="F137" s="761"/>
      <c r="G137" s="761">
        <f t="shared" si="17"/>
        <v>0</v>
      </c>
      <c r="H137" s="761"/>
      <c r="I137" s="761">
        <f t="shared" ref="I137:K157" si="18">(M137+Q137)/2</f>
        <v>0</v>
      </c>
      <c r="J137" s="761">
        <f t="shared" si="18"/>
        <v>0</v>
      </c>
      <c r="K137" s="761">
        <f t="shared" si="18"/>
        <v>0</v>
      </c>
      <c r="L137" s="761"/>
      <c r="M137" s="604"/>
      <c r="N137" s="604"/>
      <c r="O137" s="604"/>
      <c r="P137" s="761"/>
      <c r="Q137" s="604"/>
      <c r="R137" s="604"/>
      <c r="S137" s="604"/>
    </row>
    <row r="138" spans="1:19" hidden="1">
      <c r="A138" s="780">
        <f t="shared" si="16"/>
        <v>9.6299999999999866</v>
      </c>
      <c r="B138" s="604"/>
      <c r="C138" s="761">
        <f t="shared" si="14"/>
        <v>0</v>
      </c>
      <c r="D138" s="761">
        <f t="shared" si="12"/>
        <v>0</v>
      </c>
      <c r="E138" s="761"/>
      <c r="F138" s="761"/>
      <c r="G138" s="761">
        <f t="shared" si="17"/>
        <v>0</v>
      </c>
      <c r="H138" s="761"/>
      <c r="I138" s="761">
        <f t="shared" si="18"/>
        <v>0</v>
      </c>
      <c r="J138" s="761">
        <f t="shared" si="18"/>
        <v>0</v>
      </c>
      <c r="K138" s="761">
        <f t="shared" si="18"/>
        <v>0</v>
      </c>
      <c r="L138" s="761"/>
      <c r="M138" s="604"/>
      <c r="N138" s="604"/>
      <c r="O138" s="604"/>
      <c r="P138" s="761"/>
      <c r="Q138" s="604"/>
      <c r="R138" s="604"/>
      <c r="S138" s="604"/>
    </row>
    <row r="139" spans="1:19" hidden="1">
      <c r="A139" s="780">
        <f t="shared" si="16"/>
        <v>9.6399999999999864</v>
      </c>
      <c r="B139" s="604"/>
      <c r="C139" s="766">
        <f t="shared" si="14"/>
        <v>0</v>
      </c>
      <c r="D139" s="766">
        <f t="shared" si="12"/>
        <v>0</v>
      </c>
      <c r="E139" s="766"/>
      <c r="F139" s="766"/>
      <c r="G139" s="766">
        <f t="shared" si="17"/>
        <v>0</v>
      </c>
      <c r="H139" s="766"/>
      <c r="I139" s="766">
        <f t="shared" si="18"/>
        <v>0</v>
      </c>
      <c r="J139" s="766">
        <f t="shared" si="18"/>
        <v>0</v>
      </c>
      <c r="K139" s="766">
        <f t="shared" si="18"/>
        <v>0</v>
      </c>
      <c r="L139" s="766"/>
      <c r="M139" s="604"/>
      <c r="N139" s="604"/>
      <c r="O139" s="604"/>
      <c r="P139" s="766"/>
      <c r="Q139" s="604"/>
      <c r="R139" s="604"/>
      <c r="S139" s="604"/>
    </row>
    <row r="140" spans="1:19" hidden="1">
      <c r="A140" s="780">
        <f>A139+0.01</f>
        <v>9.6499999999999861</v>
      </c>
      <c r="B140" s="604"/>
      <c r="C140" s="761">
        <f t="shared" si="14"/>
        <v>0</v>
      </c>
      <c r="D140" s="761">
        <f t="shared" ref="D140:D168" si="19">SUM(Q140:S140)</f>
        <v>0</v>
      </c>
      <c r="E140" s="761"/>
      <c r="F140" s="761"/>
      <c r="G140" s="761">
        <f t="shared" si="17"/>
        <v>0</v>
      </c>
      <c r="H140" s="761"/>
      <c r="I140" s="761">
        <f t="shared" si="18"/>
        <v>0</v>
      </c>
      <c r="J140" s="761">
        <f t="shared" si="18"/>
        <v>0</v>
      </c>
      <c r="K140" s="761">
        <f t="shared" si="18"/>
        <v>0</v>
      </c>
      <c r="L140" s="761"/>
      <c r="M140" s="604"/>
      <c r="N140" s="604"/>
      <c r="O140" s="604"/>
      <c r="P140" s="761"/>
      <c r="Q140" s="604"/>
      <c r="R140" s="604"/>
      <c r="S140" s="604"/>
    </row>
    <row r="141" spans="1:19" hidden="1">
      <c r="A141" s="780">
        <f t="shared" si="16"/>
        <v>9.6599999999999859</v>
      </c>
      <c r="B141" s="604"/>
      <c r="C141" s="761">
        <f t="shared" ref="C141:C168" si="20">SUM(M141:O141)</f>
        <v>0</v>
      </c>
      <c r="D141" s="761">
        <f t="shared" si="19"/>
        <v>0</v>
      </c>
      <c r="E141" s="761"/>
      <c r="F141" s="761"/>
      <c r="G141" s="761">
        <f t="shared" si="17"/>
        <v>0</v>
      </c>
      <c r="H141" s="761"/>
      <c r="I141" s="761">
        <f t="shared" si="18"/>
        <v>0</v>
      </c>
      <c r="J141" s="761">
        <f t="shared" si="18"/>
        <v>0</v>
      </c>
      <c r="K141" s="761">
        <f t="shared" si="18"/>
        <v>0</v>
      </c>
      <c r="L141" s="761"/>
      <c r="M141" s="604"/>
      <c r="N141" s="604"/>
      <c r="O141" s="604"/>
      <c r="P141" s="761"/>
      <c r="Q141" s="604"/>
      <c r="R141" s="604"/>
      <c r="S141" s="604"/>
    </row>
    <row r="142" spans="1:19" hidden="1">
      <c r="A142" s="780">
        <f t="shared" ref="A142:A174" si="21">A141+0.01</f>
        <v>9.6699999999999857</v>
      </c>
      <c r="B142" s="604"/>
      <c r="C142" s="761">
        <f t="shared" si="20"/>
        <v>0</v>
      </c>
      <c r="D142" s="761">
        <f t="shared" si="19"/>
        <v>0</v>
      </c>
      <c r="E142" s="761"/>
      <c r="F142" s="761"/>
      <c r="G142" s="761">
        <f t="shared" si="17"/>
        <v>0</v>
      </c>
      <c r="H142" s="761"/>
      <c r="I142" s="761">
        <f t="shared" si="18"/>
        <v>0</v>
      </c>
      <c r="J142" s="761">
        <f t="shared" si="18"/>
        <v>0</v>
      </c>
      <c r="K142" s="761">
        <f t="shared" si="18"/>
        <v>0</v>
      </c>
      <c r="L142" s="761"/>
      <c r="M142" s="604"/>
      <c r="N142" s="604"/>
      <c r="O142" s="604"/>
      <c r="P142" s="761"/>
      <c r="Q142" s="604"/>
      <c r="R142" s="604"/>
      <c r="S142" s="604"/>
    </row>
    <row r="143" spans="1:19" hidden="1">
      <c r="A143" s="780">
        <f t="shared" si="21"/>
        <v>9.6799999999999855</v>
      </c>
      <c r="B143" s="604"/>
      <c r="C143" s="761">
        <f t="shared" si="20"/>
        <v>0</v>
      </c>
      <c r="D143" s="761">
        <f t="shared" si="19"/>
        <v>0</v>
      </c>
      <c r="E143" s="761"/>
      <c r="F143" s="761"/>
      <c r="G143" s="761">
        <f t="shared" si="17"/>
        <v>0</v>
      </c>
      <c r="H143" s="761"/>
      <c r="I143" s="761">
        <f t="shared" si="18"/>
        <v>0</v>
      </c>
      <c r="J143" s="761">
        <f t="shared" si="18"/>
        <v>0</v>
      </c>
      <c r="K143" s="761">
        <f t="shared" si="18"/>
        <v>0</v>
      </c>
      <c r="L143" s="761"/>
      <c r="M143" s="604"/>
      <c r="N143" s="604"/>
      <c r="O143" s="604"/>
      <c r="P143" s="761"/>
      <c r="Q143" s="604"/>
      <c r="R143" s="604"/>
      <c r="S143" s="604"/>
    </row>
    <row r="144" spans="1:19" hidden="1">
      <c r="A144" s="780">
        <f t="shared" si="21"/>
        <v>9.6899999999999853</v>
      </c>
      <c r="B144" s="604"/>
      <c r="C144" s="761">
        <f t="shared" si="20"/>
        <v>0</v>
      </c>
      <c r="D144" s="761">
        <f t="shared" si="19"/>
        <v>0</v>
      </c>
      <c r="E144" s="761"/>
      <c r="F144" s="761"/>
      <c r="G144" s="761">
        <f t="shared" si="17"/>
        <v>0</v>
      </c>
      <c r="H144" s="761"/>
      <c r="I144" s="761">
        <f t="shared" si="18"/>
        <v>0</v>
      </c>
      <c r="J144" s="761">
        <f t="shared" si="18"/>
        <v>0</v>
      </c>
      <c r="K144" s="761">
        <f t="shared" si="18"/>
        <v>0</v>
      </c>
      <c r="L144" s="761"/>
      <c r="M144" s="604"/>
      <c r="N144" s="604"/>
      <c r="O144" s="604"/>
      <c r="P144" s="761"/>
      <c r="Q144" s="604"/>
      <c r="R144" s="604"/>
      <c r="S144" s="604"/>
    </row>
    <row r="145" spans="1:19" hidden="1">
      <c r="A145" s="780">
        <f t="shared" si="21"/>
        <v>9.6999999999999851</v>
      </c>
      <c r="B145" s="604"/>
      <c r="C145" s="761">
        <f>SUM(M145:O145)</f>
        <v>0</v>
      </c>
      <c r="D145" s="761">
        <f t="shared" si="19"/>
        <v>0</v>
      </c>
      <c r="E145" s="761"/>
      <c r="F145" s="761"/>
      <c r="G145" s="761">
        <f t="shared" si="17"/>
        <v>0</v>
      </c>
      <c r="H145" s="761"/>
      <c r="I145" s="761">
        <f t="shared" si="18"/>
        <v>0</v>
      </c>
      <c r="J145" s="761">
        <f t="shared" si="18"/>
        <v>0</v>
      </c>
      <c r="K145" s="761">
        <f t="shared" si="18"/>
        <v>0</v>
      </c>
      <c r="L145" s="761"/>
      <c r="M145" s="604"/>
      <c r="N145" s="604"/>
      <c r="O145" s="604"/>
      <c r="P145" s="761"/>
      <c r="Q145" s="604"/>
      <c r="R145" s="604"/>
      <c r="S145" s="604"/>
    </row>
    <row r="146" spans="1:19" hidden="1">
      <c r="A146" s="780">
        <f t="shared" si="21"/>
        <v>9.7099999999999849</v>
      </c>
      <c r="B146" s="604"/>
      <c r="C146" s="761">
        <f t="shared" si="20"/>
        <v>0</v>
      </c>
      <c r="D146" s="761">
        <f t="shared" si="19"/>
        <v>0</v>
      </c>
      <c r="E146" s="761"/>
      <c r="F146" s="761"/>
      <c r="G146" s="761">
        <f t="shared" si="17"/>
        <v>0</v>
      </c>
      <c r="H146" s="761"/>
      <c r="I146" s="761">
        <f t="shared" si="18"/>
        <v>0</v>
      </c>
      <c r="J146" s="761">
        <f t="shared" si="18"/>
        <v>0</v>
      </c>
      <c r="K146" s="761">
        <f t="shared" si="18"/>
        <v>0</v>
      </c>
      <c r="L146" s="761"/>
      <c r="M146" s="604"/>
      <c r="N146" s="604"/>
      <c r="O146" s="604"/>
      <c r="P146" s="761"/>
      <c r="Q146" s="604"/>
      <c r="R146" s="604"/>
      <c r="S146" s="604"/>
    </row>
    <row r="147" spans="1:19" hidden="1">
      <c r="A147" s="780">
        <f t="shared" si="21"/>
        <v>9.7199999999999847</v>
      </c>
      <c r="B147" s="604"/>
      <c r="C147" s="761">
        <f>SUM(M147:O147)</f>
        <v>0</v>
      </c>
      <c r="D147" s="761">
        <f t="shared" si="19"/>
        <v>0</v>
      </c>
      <c r="E147" s="761"/>
      <c r="F147" s="761"/>
      <c r="G147" s="761">
        <v>0</v>
      </c>
      <c r="H147" s="761"/>
      <c r="I147" s="761">
        <f t="shared" si="18"/>
        <v>0</v>
      </c>
      <c r="J147" s="761">
        <f t="shared" si="18"/>
        <v>0</v>
      </c>
      <c r="K147" s="761">
        <f t="shared" si="18"/>
        <v>0</v>
      </c>
      <c r="L147" s="761"/>
      <c r="M147" s="604"/>
      <c r="N147" s="604"/>
      <c r="O147" s="604"/>
      <c r="P147" s="761"/>
      <c r="Q147" s="604"/>
      <c r="R147" s="604"/>
      <c r="S147" s="604"/>
    </row>
    <row r="148" spans="1:19" hidden="1">
      <c r="A148" s="780">
        <f t="shared" si="21"/>
        <v>9.7299999999999844</v>
      </c>
      <c r="B148" s="604"/>
      <c r="C148" s="761">
        <f>SUM(M148:O148)</f>
        <v>0</v>
      </c>
      <c r="D148" s="761">
        <f t="shared" si="19"/>
        <v>0</v>
      </c>
      <c r="E148" s="761"/>
      <c r="F148" s="761"/>
      <c r="G148" s="761">
        <f t="shared" si="17"/>
        <v>0</v>
      </c>
      <c r="H148" s="761"/>
      <c r="I148" s="761">
        <f t="shared" si="18"/>
        <v>0</v>
      </c>
      <c r="J148" s="761">
        <f t="shared" si="18"/>
        <v>0</v>
      </c>
      <c r="K148" s="761">
        <f t="shared" si="18"/>
        <v>0</v>
      </c>
      <c r="L148" s="761"/>
      <c r="M148" s="604"/>
      <c r="N148" s="604"/>
      <c r="O148" s="604"/>
      <c r="P148" s="761"/>
      <c r="Q148" s="604"/>
      <c r="R148" s="604"/>
      <c r="S148" s="604"/>
    </row>
    <row r="149" spans="1:19" hidden="1">
      <c r="A149" s="780">
        <f t="shared" si="21"/>
        <v>9.7399999999999842</v>
      </c>
      <c r="B149" s="604"/>
      <c r="C149" s="761">
        <f>SUM(M149:O149)</f>
        <v>0</v>
      </c>
      <c r="D149" s="761">
        <f t="shared" si="19"/>
        <v>0</v>
      </c>
      <c r="E149" s="761"/>
      <c r="F149" s="761"/>
      <c r="G149" s="761">
        <f t="shared" si="17"/>
        <v>0</v>
      </c>
      <c r="H149" s="761"/>
      <c r="I149" s="761">
        <f t="shared" si="18"/>
        <v>0</v>
      </c>
      <c r="J149" s="761">
        <f t="shared" si="18"/>
        <v>0</v>
      </c>
      <c r="K149" s="761">
        <f t="shared" si="18"/>
        <v>0</v>
      </c>
      <c r="L149" s="761"/>
      <c r="M149" s="604"/>
      <c r="N149" s="604"/>
      <c r="O149" s="604"/>
      <c r="P149" s="761"/>
      <c r="Q149" s="604"/>
      <c r="R149" s="604"/>
      <c r="S149" s="604"/>
    </row>
    <row r="150" spans="1:19" hidden="1">
      <c r="A150" s="780">
        <f t="shared" si="21"/>
        <v>9.749999999999984</v>
      </c>
      <c r="B150" s="604"/>
      <c r="C150" s="761">
        <f>SUM(M150:O150)</f>
        <v>0</v>
      </c>
      <c r="D150" s="761">
        <f t="shared" si="19"/>
        <v>0</v>
      </c>
      <c r="E150" s="761"/>
      <c r="F150" s="761"/>
      <c r="G150" s="761">
        <f t="shared" si="17"/>
        <v>0</v>
      </c>
      <c r="H150" s="761"/>
      <c r="I150" s="761">
        <f t="shared" si="18"/>
        <v>0</v>
      </c>
      <c r="J150" s="761">
        <f t="shared" si="18"/>
        <v>0</v>
      </c>
      <c r="K150" s="761">
        <f t="shared" si="18"/>
        <v>0</v>
      </c>
      <c r="L150" s="761"/>
      <c r="M150" s="604"/>
      <c r="N150" s="604"/>
      <c r="O150" s="604"/>
      <c r="P150" s="761"/>
      <c r="Q150" s="604"/>
      <c r="R150" s="604"/>
      <c r="S150" s="604"/>
    </row>
    <row r="151" spans="1:19" hidden="1">
      <c r="A151" s="780">
        <f t="shared" si="21"/>
        <v>9.7599999999999838</v>
      </c>
      <c r="B151" s="604"/>
      <c r="C151" s="761">
        <f t="shared" si="20"/>
        <v>0</v>
      </c>
      <c r="D151" s="761">
        <f t="shared" si="19"/>
        <v>0</v>
      </c>
      <c r="E151" s="761"/>
      <c r="F151" s="761"/>
      <c r="G151" s="761">
        <f t="shared" si="17"/>
        <v>0</v>
      </c>
      <c r="H151" s="761"/>
      <c r="I151" s="761">
        <f t="shared" si="18"/>
        <v>0</v>
      </c>
      <c r="J151" s="761">
        <f t="shared" si="18"/>
        <v>0</v>
      </c>
      <c r="K151" s="761">
        <f t="shared" si="18"/>
        <v>0</v>
      </c>
      <c r="L151" s="761"/>
      <c r="M151" s="604"/>
      <c r="N151" s="604"/>
      <c r="O151" s="604"/>
      <c r="P151" s="761"/>
      <c r="Q151" s="604"/>
      <c r="R151" s="604"/>
      <c r="S151" s="604"/>
    </row>
    <row r="152" spans="1:19" hidden="1">
      <c r="A152" s="780">
        <f t="shared" si="21"/>
        <v>9.7699999999999836</v>
      </c>
      <c r="B152" s="604"/>
      <c r="C152" s="761">
        <f t="shared" si="20"/>
        <v>0</v>
      </c>
      <c r="D152" s="761">
        <f t="shared" si="19"/>
        <v>0</v>
      </c>
      <c r="E152" s="761"/>
      <c r="F152" s="761"/>
      <c r="G152" s="761">
        <f t="shared" si="17"/>
        <v>0</v>
      </c>
      <c r="H152" s="761"/>
      <c r="I152" s="761">
        <f t="shared" si="18"/>
        <v>0</v>
      </c>
      <c r="J152" s="761">
        <f t="shared" si="18"/>
        <v>0</v>
      </c>
      <c r="K152" s="761">
        <f t="shared" si="18"/>
        <v>0</v>
      </c>
      <c r="L152" s="761"/>
      <c r="M152" s="604"/>
      <c r="N152" s="604"/>
      <c r="O152" s="604"/>
      <c r="P152" s="761"/>
      <c r="Q152" s="604"/>
      <c r="R152" s="604"/>
      <c r="S152" s="604"/>
    </row>
    <row r="153" spans="1:19" hidden="1">
      <c r="A153" s="780">
        <f t="shared" si="21"/>
        <v>9.7799999999999834</v>
      </c>
      <c r="B153" s="604"/>
      <c r="C153" s="761">
        <f t="shared" si="20"/>
        <v>0</v>
      </c>
      <c r="D153" s="761">
        <f t="shared" si="19"/>
        <v>0</v>
      </c>
      <c r="E153" s="761"/>
      <c r="F153" s="761"/>
      <c r="G153" s="761">
        <f t="shared" si="17"/>
        <v>0</v>
      </c>
      <c r="H153" s="761"/>
      <c r="I153" s="761">
        <f t="shared" si="18"/>
        <v>0</v>
      </c>
      <c r="J153" s="761">
        <f t="shared" si="18"/>
        <v>0</v>
      </c>
      <c r="K153" s="761">
        <f t="shared" si="18"/>
        <v>0</v>
      </c>
      <c r="L153" s="761"/>
      <c r="M153" s="604"/>
      <c r="N153" s="604"/>
      <c r="O153" s="604"/>
      <c r="P153" s="761"/>
      <c r="Q153" s="604"/>
      <c r="R153" s="604"/>
      <c r="S153" s="604"/>
    </row>
    <row r="154" spans="1:19" hidden="1">
      <c r="A154" s="780">
        <f t="shared" si="21"/>
        <v>9.7899999999999832</v>
      </c>
      <c r="B154" s="604"/>
      <c r="C154" s="761">
        <f t="shared" si="20"/>
        <v>0</v>
      </c>
      <c r="D154" s="761">
        <f t="shared" si="19"/>
        <v>0</v>
      </c>
      <c r="E154" s="761"/>
      <c r="F154" s="761"/>
      <c r="G154" s="761">
        <f t="shared" si="17"/>
        <v>0</v>
      </c>
      <c r="H154" s="761"/>
      <c r="I154" s="761">
        <f t="shared" si="18"/>
        <v>0</v>
      </c>
      <c r="J154" s="761">
        <f t="shared" si="18"/>
        <v>0</v>
      </c>
      <c r="K154" s="761">
        <f t="shared" si="18"/>
        <v>0</v>
      </c>
      <c r="L154" s="761"/>
      <c r="M154" s="604"/>
      <c r="N154" s="604"/>
      <c r="O154" s="604"/>
      <c r="P154" s="761"/>
      <c r="Q154" s="604"/>
      <c r="R154" s="604"/>
      <c r="S154" s="604"/>
    </row>
    <row r="155" spans="1:19" hidden="1">
      <c r="A155" s="780">
        <f t="shared" si="21"/>
        <v>9.7999999999999829</v>
      </c>
      <c r="B155" s="604"/>
      <c r="C155" s="761">
        <f t="shared" si="20"/>
        <v>0</v>
      </c>
      <c r="D155" s="761">
        <f t="shared" si="19"/>
        <v>0</v>
      </c>
      <c r="E155" s="761"/>
      <c r="F155" s="761"/>
      <c r="G155" s="761">
        <f t="shared" si="17"/>
        <v>0</v>
      </c>
      <c r="H155" s="761"/>
      <c r="I155" s="761">
        <f t="shared" si="18"/>
        <v>0</v>
      </c>
      <c r="J155" s="761">
        <f t="shared" si="18"/>
        <v>0</v>
      </c>
      <c r="K155" s="761">
        <f t="shared" si="18"/>
        <v>0</v>
      </c>
      <c r="L155" s="761"/>
      <c r="M155" s="604"/>
      <c r="N155" s="604"/>
      <c r="O155" s="604"/>
      <c r="P155" s="761"/>
      <c r="Q155" s="604"/>
      <c r="R155" s="604"/>
      <c r="S155" s="604"/>
    </row>
    <row r="156" spans="1:19" hidden="1">
      <c r="A156" s="780">
        <f t="shared" si="21"/>
        <v>9.8099999999999827</v>
      </c>
      <c r="B156" s="604"/>
      <c r="C156" s="761">
        <f t="shared" si="20"/>
        <v>0</v>
      </c>
      <c r="D156" s="761">
        <f t="shared" si="19"/>
        <v>0</v>
      </c>
      <c r="E156" s="761"/>
      <c r="F156" s="761"/>
      <c r="G156" s="761">
        <f t="shared" si="17"/>
        <v>0</v>
      </c>
      <c r="H156" s="761"/>
      <c r="I156" s="761">
        <f t="shared" si="18"/>
        <v>0</v>
      </c>
      <c r="J156" s="761">
        <f t="shared" si="18"/>
        <v>0</v>
      </c>
      <c r="K156" s="761">
        <f t="shared" si="18"/>
        <v>0</v>
      </c>
      <c r="L156" s="761"/>
      <c r="M156" s="604"/>
      <c r="N156" s="604"/>
      <c r="O156" s="604"/>
      <c r="P156" s="761"/>
      <c r="Q156" s="604"/>
      <c r="R156" s="604"/>
      <c r="S156" s="604"/>
    </row>
    <row r="157" spans="1:19" hidden="1">
      <c r="A157" s="780">
        <f t="shared" si="21"/>
        <v>9.8199999999999825</v>
      </c>
      <c r="B157" s="604"/>
      <c r="C157" s="761">
        <f t="shared" si="20"/>
        <v>0</v>
      </c>
      <c r="D157" s="761">
        <f t="shared" si="19"/>
        <v>0</v>
      </c>
      <c r="E157" s="761"/>
      <c r="F157" s="761"/>
      <c r="G157" s="761">
        <f t="shared" si="17"/>
        <v>0</v>
      </c>
      <c r="H157" s="761"/>
      <c r="I157" s="761">
        <f t="shared" si="18"/>
        <v>0</v>
      </c>
      <c r="J157" s="761">
        <f t="shared" si="18"/>
        <v>0</v>
      </c>
      <c r="K157" s="761">
        <f t="shared" si="18"/>
        <v>0</v>
      </c>
      <c r="L157" s="761"/>
      <c r="M157" s="604"/>
      <c r="N157" s="604"/>
      <c r="O157" s="604"/>
      <c r="P157" s="761"/>
      <c r="Q157" s="604"/>
      <c r="R157" s="604"/>
      <c r="S157" s="604"/>
    </row>
    <row r="158" spans="1:19" hidden="1">
      <c r="A158" s="780">
        <f t="shared" si="21"/>
        <v>9.8299999999999823</v>
      </c>
      <c r="B158" s="604"/>
      <c r="C158" s="761">
        <f>SUM(M158:O158)</f>
        <v>0</v>
      </c>
      <c r="D158" s="761">
        <f t="shared" si="19"/>
        <v>0</v>
      </c>
      <c r="E158" s="761"/>
      <c r="F158" s="761"/>
      <c r="G158" s="761">
        <f t="shared" si="17"/>
        <v>0</v>
      </c>
      <c r="H158" s="761"/>
      <c r="I158" s="761">
        <f t="shared" ref="I158:K168" si="22">(M158+Q158)/2</f>
        <v>0</v>
      </c>
      <c r="J158" s="761">
        <f t="shared" si="22"/>
        <v>0</v>
      </c>
      <c r="K158" s="761">
        <f t="shared" si="22"/>
        <v>0</v>
      </c>
      <c r="L158" s="761"/>
      <c r="M158" s="604"/>
      <c r="N158" s="604"/>
      <c r="O158" s="604"/>
      <c r="P158" s="761"/>
      <c r="Q158" s="604"/>
      <c r="R158" s="604"/>
      <c r="S158" s="604"/>
    </row>
    <row r="159" spans="1:19" hidden="1">
      <c r="A159" s="780">
        <f t="shared" si="21"/>
        <v>9.8399999999999821</v>
      </c>
      <c r="B159" s="604"/>
      <c r="C159" s="761">
        <f>SUM(M159:O159)</f>
        <v>0</v>
      </c>
      <c r="D159" s="761">
        <f t="shared" si="19"/>
        <v>0</v>
      </c>
      <c r="E159" s="761"/>
      <c r="F159" s="761"/>
      <c r="G159" s="761">
        <f t="shared" si="17"/>
        <v>0</v>
      </c>
      <c r="H159" s="761"/>
      <c r="I159" s="761">
        <f t="shared" si="22"/>
        <v>0</v>
      </c>
      <c r="J159" s="761">
        <f t="shared" si="22"/>
        <v>0</v>
      </c>
      <c r="K159" s="761">
        <f t="shared" si="22"/>
        <v>0</v>
      </c>
      <c r="L159" s="761"/>
      <c r="M159" s="604"/>
      <c r="N159" s="604"/>
      <c r="O159" s="604"/>
      <c r="P159" s="761"/>
      <c r="Q159" s="604"/>
      <c r="R159" s="604"/>
      <c r="S159" s="604"/>
    </row>
    <row r="160" spans="1:19" hidden="1">
      <c r="A160" s="780">
        <f t="shared" si="21"/>
        <v>9.8499999999999819</v>
      </c>
      <c r="B160" s="604"/>
      <c r="C160" s="761">
        <f>SUM(M160:O160)</f>
        <v>0</v>
      </c>
      <c r="D160" s="761">
        <f t="shared" si="19"/>
        <v>0</v>
      </c>
      <c r="E160" s="761"/>
      <c r="F160" s="761"/>
      <c r="G160" s="761">
        <f t="shared" si="17"/>
        <v>0</v>
      </c>
      <c r="H160" s="761"/>
      <c r="I160" s="761">
        <f t="shared" si="22"/>
        <v>0</v>
      </c>
      <c r="J160" s="761">
        <f t="shared" si="22"/>
        <v>0</v>
      </c>
      <c r="K160" s="761">
        <f t="shared" si="22"/>
        <v>0</v>
      </c>
      <c r="L160" s="761"/>
      <c r="M160" s="604"/>
      <c r="N160" s="604"/>
      <c r="O160" s="604"/>
      <c r="P160" s="761"/>
      <c r="Q160" s="604"/>
      <c r="R160" s="604"/>
      <c r="S160" s="604"/>
    </row>
    <row r="161" spans="1:19" hidden="1">
      <c r="A161" s="780">
        <f t="shared" si="21"/>
        <v>9.8599999999999817</v>
      </c>
      <c r="B161" s="604"/>
      <c r="C161" s="761">
        <f>SUM(M161:O161)</f>
        <v>0</v>
      </c>
      <c r="D161" s="761">
        <f t="shared" si="19"/>
        <v>0</v>
      </c>
      <c r="E161" s="761"/>
      <c r="F161" s="761"/>
      <c r="G161" s="761">
        <f t="shared" si="17"/>
        <v>0</v>
      </c>
      <c r="H161" s="761"/>
      <c r="I161" s="761">
        <f t="shared" si="22"/>
        <v>0</v>
      </c>
      <c r="J161" s="761">
        <f t="shared" si="22"/>
        <v>0</v>
      </c>
      <c r="K161" s="761">
        <f t="shared" si="22"/>
        <v>0</v>
      </c>
      <c r="L161" s="761"/>
      <c r="M161" s="604"/>
      <c r="N161" s="604"/>
      <c r="O161" s="604"/>
      <c r="P161" s="761"/>
      <c r="Q161" s="604"/>
      <c r="R161" s="604"/>
      <c r="S161" s="604"/>
    </row>
    <row r="162" spans="1:19" hidden="1">
      <c r="A162" s="780">
        <f t="shared" si="21"/>
        <v>9.8699999999999815</v>
      </c>
      <c r="B162" s="604"/>
      <c r="C162" s="761">
        <f t="shared" si="20"/>
        <v>0</v>
      </c>
      <c r="D162" s="761">
        <f t="shared" si="19"/>
        <v>0</v>
      </c>
      <c r="E162" s="761"/>
      <c r="F162" s="761"/>
      <c r="G162" s="761">
        <f t="shared" si="17"/>
        <v>0</v>
      </c>
      <c r="H162" s="761"/>
      <c r="I162" s="761">
        <f t="shared" si="22"/>
        <v>0</v>
      </c>
      <c r="J162" s="761">
        <f t="shared" si="22"/>
        <v>0</v>
      </c>
      <c r="K162" s="761">
        <f t="shared" si="22"/>
        <v>0</v>
      </c>
      <c r="L162" s="761"/>
      <c r="M162" s="604"/>
      <c r="N162" s="604"/>
      <c r="O162" s="604"/>
      <c r="P162" s="761"/>
      <c r="Q162" s="604"/>
      <c r="R162" s="604"/>
      <c r="S162" s="604"/>
    </row>
    <row r="163" spans="1:19" hidden="1">
      <c r="A163" s="780">
        <f t="shared" si="21"/>
        <v>9.8799999999999812</v>
      </c>
      <c r="B163" s="604"/>
      <c r="C163" s="761">
        <f t="shared" si="20"/>
        <v>0</v>
      </c>
      <c r="D163" s="761">
        <f t="shared" si="19"/>
        <v>0</v>
      </c>
      <c r="E163" s="761"/>
      <c r="F163" s="761"/>
      <c r="G163" s="761">
        <f t="shared" si="17"/>
        <v>0</v>
      </c>
      <c r="H163" s="761"/>
      <c r="I163" s="761">
        <f t="shared" si="22"/>
        <v>0</v>
      </c>
      <c r="J163" s="761">
        <f t="shared" si="22"/>
        <v>0</v>
      </c>
      <c r="K163" s="761">
        <f t="shared" si="22"/>
        <v>0</v>
      </c>
      <c r="L163" s="761"/>
      <c r="M163" s="604"/>
      <c r="N163" s="604"/>
      <c r="O163" s="604"/>
      <c r="P163" s="761"/>
      <c r="Q163" s="604"/>
      <c r="R163" s="604"/>
      <c r="S163" s="604"/>
    </row>
    <row r="164" spans="1:19" hidden="1">
      <c r="A164" s="780">
        <f t="shared" si="21"/>
        <v>9.889999999999981</v>
      </c>
      <c r="B164" s="604"/>
      <c r="C164" s="761">
        <f t="shared" si="20"/>
        <v>0</v>
      </c>
      <c r="D164" s="761">
        <f t="shared" si="19"/>
        <v>0</v>
      </c>
      <c r="E164" s="761"/>
      <c r="F164" s="761"/>
      <c r="G164" s="955">
        <f t="shared" si="17"/>
        <v>0</v>
      </c>
      <c r="H164" s="761"/>
      <c r="I164" s="761">
        <f t="shared" si="22"/>
        <v>0</v>
      </c>
      <c r="J164" s="761">
        <f t="shared" si="22"/>
        <v>0</v>
      </c>
      <c r="K164" s="761">
        <f t="shared" si="22"/>
        <v>0</v>
      </c>
      <c r="L164" s="955"/>
      <c r="M164" s="604"/>
      <c r="N164" s="604"/>
      <c r="O164" s="604"/>
      <c r="P164" s="761"/>
      <c r="Q164" s="604"/>
      <c r="R164" s="604"/>
      <c r="S164" s="604"/>
    </row>
    <row r="165" spans="1:19" hidden="1">
      <c r="A165" s="780">
        <f t="shared" si="21"/>
        <v>9.8999999999999808</v>
      </c>
      <c r="B165" s="604"/>
      <c r="C165" s="761">
        <f t="shared" si="20"/>
        <v>0</v>
      </c>
      <c r="D165" s="761">
        <f t="shared" si="19"/>
        <v>0</v>
      </c>
      <c r="E165" s="761"/>
      <c r="F165" s="761"/>
      <c r="G165" s="761">
        <f t="shared" si="17"/>
        <v>0</v>
      </c>
      <c r="H165" s="761"/>
      <c r="I165" s="761">
        <f t="shared" si="22"/>
        <v>0</v>
      </c>
      <c r="J165" s="761">
        <f t="shared" si="22"/>
        <v>0</v>
      </c>
      <c r="K165" s="761">
        <f t="shared" si="22"/>
        <v>0</v>
      </c>
      <c r="L165" s="761"/>
      <c r="M165" s="604"/>
      <c r="N165" s="604"/>
      <c r="O165" s="604"/>
      <c r="P165" s="761"/>
      <c r="Q165" s="604"/>
      <c r="R165" s="604"/>
      <c r="S165" s="604"/>
    </row>
    <row r="166" spans="1:19" hidden="1">
      <c r="A166" s="780">
        <f t="shared" si="21"/>
        <v>9.9099999999999806</v>
      </c>
      <c r="B166" s="604"/>
      <c r="C166" s="761">
        <f t="shared" si="20"/>
        <v>0</v>
      </c>
      <c r="D166" s="761">
        <f t="shared" si="19"/>
        <v>0</v>
      </c>
      <c r="E166" s="761"/>
      <c r="F166" s="761"/>
      <c r="G166" s="761">
        <f>ROUND(SUM(C166:F166)/2,0)</f>
        <v>0</v>
      </c>
      <c r="H166" s="761"/>
      <c r="I166" s="761">
        <f t="shared" si="22"/>
        <v>0</v>
      </c>
      <c r="J166" s="761">
        <f t="shared" si="22"/>
        <v>0</v>
      </c>
      <c r="K166" s="761">
        <f t="shared" si="22"/>
        <v>0</v>
      </c>
      <c r="L166" s="761"/>
      <c r="M166" s="604"/>
      <c r="N166" s="604"/>
      <c r="O166" s="604"/>
      <c r="P166" s="761"/>
      <c r="Q166" s="604"/>
      <c r="R166" s="604"/>
      <c r="S166" s="604"/>
    </row>
    <row r="167" spans="1:19" hidden="1">
      <c r="A167" s="780">
        <f t="shared" si="21"/>
        <v>9.9199999999999804</v>
      </c>
      <c r="B167" s="604"/>
      <c r="C167" s="761">
        <f t="shared" si="20"/>
        <v>0</v>
      </c>
      <c r="D167" s="761">
        <f t="shared" si="19"/>
        <v>0</v>
      </c>
      <c r="E167" s="761"/>
      <c r="F167" s="761"/>
      <c r="G167" s="761">
        <f t="shared" si="17"/>
        <v>0</v>
      </c>
      <c r="H167" s="761"/>
      <c r="I167" s="761">
        <f t="shared" si="22"/>
        <v>0</v>
      </c>
      <c r="J167" s="761">
        <f t="shared" si="22"/>
        <v>0</v>
      </c>
      <c r="K167" s="761">
        <f t="shared" si="22"/>
        <v>0</v>
      </c>
      <c r="L167" s="761"/>
      <c r="M167" s="604"/>
      <c r="N167" s="604"/>
      <c r="O167" s="604"/>
      <c r="P167" s="761"/>
      <c r="Q167" s="604"/>
      <c r="R167" s="604"/>
      <c r="S167" s="604"/>
    </row>
    <row r="168" spans="1:19" hidden="1">
      <c r="A168" s="780">
        <f t="shared" si="21"/>
        <v>9.9299999999999802</v>
      </c>
      <c r="B168" s="604"/>
      <c r="C168" s="761">
        <f t="shared" si="20"/>
        <v>0</v>
      </c>
      <c r="D168" s="761">
        <f t="shared" si="19"/>
        <v>0</v>
      </c>
      <c r="E168" s="761"/>
      <c r="F168" s="761"/>
      <c r="G168" s="761">
        <f t="shared" si="17"/>
        <v>0</v>
      </c>
      <c r="H168" s="761"/>
      <c r="I168" s="761">
        <f t="shared" si="22"/>
        <v>0</v>
      </c>
      <c r="J168" s="761">
        <f t="shared" si="22"/>
        <v>0</v>
      </c>
      <c r="K168" s="761">
        <f t="shared" si="22"/>
        <v>0</v>
      </c>
      <c r="L168" s="761"/>
      <c r="M168" s="604"/>
      <c r="N168" s="604"/>
      <c r="O168" s="604"/>
      <c r="P168" s="761"/>
      <c r="Q168" s="604"/>
      <c r="R168" s="604"/>
      <c r="S168" s="604"/>
    </row>
    <row r="169" spans="1:19">
      <c r="A169" s="780">
        <f t="shared" si="21"/>
        <v>9.93999999999998</v>
      </c>
      <c r="B169" s="604"/>
      <c r="C169" s="604"/>
      <c r="D169" s="604"/>
      <c r="E169" s="761">
        <f t="shared" ref="E169:F174" si="23">-C169</f>
        <v>0</v>
      </c>
      <c r="F169" s="761">
        <f t="shared" si="23"/>
        <v>0</v>
      </c>
      <c r="G169" s="761">
        <f t="shared" si="17"/>
        <v>0</v>
      </c>
      <c r="H169" s="761"/>
      <c r="I169" s="761"/>
      <c r="J169" s="761"/>
      <c r="K169" s="761"/>
      <c r="L169" s="761"/>
      <c r="M169" s="761"/>
      <c r="N169" s="761"/>
      <c r="O169" s="761"/>
      <c r="P169" s="761"/>
      <c r="Q169" s="761"/>
      <c r="R169" s="761"/>
      <c r="S169" s="761"/>
    </row>
    <row r="170" spans="1:19">
      <c r="A170" s="780">
        <f t="shared" si="21"/>
        <v>9.9499999999999797</v>
      </c>
      <c r="B170" s="604"/>
      <c r="C170" s="604"/>
      <c r="D170" s="604"/>
      <c r="E170" s="761">
        <f t="shared" si="23"/>
        <v>0</v>
      </c>
      <c r="F170" s="761">
        <f t="shared" si="23"/>
        <v>0</v>
      </c>
      <c r="G170" s="761">
        <f t="shared" si="17"/>
        <v>0</v>
      </c>
      <c r="H170" s="761"/>
      <c r="I170" s="761"/>
      <c r="J170" s="761"/>
      <c r="K170" s="761"/>
      <c r="L170" s="761"/>
      <c r="M170" s="761"/>
      <c r="N170" s="761"/>
      <c r="O170" s="761"/>
      <c r="P170" s="761"/>
      <c r="Q170" s="761"/>
      <c r="R170" s="761"/>
      <c r="S170" s="761"/>
    </row>
    <row r="171" spans="1:19">
      <c r="A171" s="780">
        <f t="shared" si="21"/>
        <v>9.9599999999999795</v>
      </c>
      <c r="B171" s="604"/>
      <c r="C171" s="604"/>
      <c r="D171" s="604"/>
      <c r="E171" s="761">
        <f t="shared" si="23"/>
        <v>0</v>
      </c>
      <c r="F171" s="761">
        <f t="shared" si="23"/>
        <v>0</v>
      </c>
      <c r="G171" s="761">
        <f t="shared" si="17"/>
        <v>0</v>
      </c>
      <c r="H171" s="761"/>
      <c r="I171" s="761"/>
      <c r="J171" s="761"/>
      <c r="K171" s="761"/>
      <c r="L171" s="761"/>
      <c r="M171" s="761"/>
      <c r="N171" s="761"/>
      <c r="O171" s="761"/>
      <c r="P171" s="761"/>
      <c r="Q171" s="761"/>
      <c r="R171" s="761"/>
      <c r="S171" s="761"/>
    </row>
    <row r="172" spans="1:19">
      <c r="A172" s="780">
        <f t="shared" si="21"/>
        <v>9.9699999999999793</v>
      </c>
      <c r="B172" s="604"/>
      <c r="C172" s="604"/>
      <c r="D172" s="604"/>
      <c r="E172" s="761">
        <f>-C172</f>
        <v>0</v>
      </c>
      <c r="F172" s="761">
        <f>-D172</f>
        <v>0</v>
      </c>
      <c r="G172" s="761">
        <f t="shared" si="17"/>
        <v>0</v>
      </c>
      <c r="H172" s="761"/>
      <c r="I172" s="761"/>
      <c r="J172" s="761"/>
      <c r="K172" s="761"/>
      <c r="L172" s="761"/>
      <c r="M172" s="761"/>
      <c r="N172" s="761"/>
      <c r="O172" s="761"/>
      <c r="P172" s="761"/>
      <c r="Q172" s="761"/>
      <c r="R172" s="761"/>
      <c r="S172" s="761"/>
    </row>
    <row r="173" spans="1:19">
      <c r="A173" s="780">
        <f t="shared" si="21"/>
        <v>9.9799999999999791</v>
      </c>
      <c r="B173" s="604"/>
      <c r="C173" s="604"/>
      <c r="D173" s="604"/>
      <c r="E173" s="761">
        <f>-C173</f>
        <v>0</v>
      </c>
      <c r="F173" s="761">
        <f>-D173</f>
        <v>0</v>
      </c>
      <c r="G173" s="761">
        <f t="shared" si="17"/>
        <v>0</v>
      </c>
      <c r="H173" s="761"/>
      <c r="I173" s="761"/>
      <c r="J173" s="761"/>
      <c r="K173" s="761"/>
      <c r="L173" s="761"/>
      <c r="M173" s="761"/>
      <c r="N173" s="761"/>
      <c r="O173" s="761"/>
      <c r="P173" s="761"/>
      <c r="Q173" s="761"/>
      <c r="R173" s="761"/>
      <c r="S173" s="761"/>
    </row>
    <row r="174" spans="1:19">
      <c r="A174" s="780">
        <f t="shared" si="21"/>
        <v>9.9899999999999789</v>
      </c>
      <c r="B174" s="604"/>
      <c r="C174" s="604"/>
      <c r="D174" s="604"/>
      <c r="E174" s="761">
        <f t="shared" si="23"/>
        <v>0</v>
      </c>
      <c r="F174" s="761">
        <f t="shared" si="23"/>
        <v>0</v>
      </c>
      <c r="G174" s="761">
        <f t="shared" si="17"/>
        <v>0</v>
      </c>
      <c r="H174" s="761"/>
      <c r="I174" s="761"/>
      <c r="J174" s="761"/>
      <c r="K174" s="761"/>
      <c r="L174" s="761"/>
      <c r="M174" s="761"/>
      <c r="N174" s="761"/>
      <c r="O174" s="761"/>
      <c r="P174" s="761"/>
      <c r="Q174" s="761"/>
      <c r="R174" s="761"/>
      <c r="S174" s="761"/>
    </row>
    <row r="175" spans="1:19">
      <c r="A175" s="770"/>
      <c r="B175" s="754"/>
      <c r="C175" s="761"/>
      <c r="D175" s="761"/>
      <c r="E175" s="761"/>
      <c r="F175" s="761"/>
      <c r="G175" s="761"/>
      <c r="H175" s="761"/>
      <c r="I175" s="761"/>
      <c r="J175" s="761"/>
      <c r="K175" s="761"/>
      <c r="L175" s="761"/>
      <c r="M175" s="761"/>
      <c r="N175" s="761"/>
      <c r="O175" s="761"/>
      <c r="P175" s="761"/>
      <c r="Q175" s="761"/>
      <c r="R175" s="761"/>
      <c r="S175" s="761"/>
    </row>
    <row r="176" spans="1:19">
      <c r="A176" s="770"/>
      <c r="B176" s="754"/>
      <c r="C176" s="761"/>
      <c r="D176" s="761"/>
      <c r="E176" s="761"/>
      <c r="F176" s="761"/>
      <c r="G176" s="761"/>
      <c r="H176" s="761"/>
      <c r="I176" s="761"/>
      <c r="J176" s="761"/>
      <c r="K176" s="761"/>
      <c r="L176" s="761"/>
      <c r="M176" s="761"/>
      <c r="N176" s="761"/>
      <c r="O176" s="761"/>
      <c r="P176" s="761"/>
      <c r="Q176" s="761"/>
      <c r="R176" s="761"/>
      <c r="S176" s="761"/>
    </row>
    <row r="177" spans="1:19" ht="13.5" thickBot="1">
      <c r="A177" s="770">
        <v>10</v>
      </c>
      <c r="C177" s="764">
        <f>SUM(C76:C176)</f>
        <v>0</v>
      </c>
      <c r="D177" s="764">
        <f>SUM(D76:D176)</f>
        <v>0</v>
      </c>
      <c r="E177" s="764">
        <f>SUM(E76:E176)</f>
        <v>0</v>
      </c>
      <c r="F177" s="764">
        <f>SUM(F76:F176)</f>
        <v>0</v>
      </c>
      <c r="G177" s="764">
        <f>SUM(G76:G176)</f>
        <v>0</v>
      </c>
      <c r="H177" s="767"/>
      <c r="I177" s="764">
        <f>SUM(I76:I176)</f>
        <v>0</v>
      </c>
      <c r="J177" s="764">
        <f>SUM(J76:J176)</f>
        <v>0</v>
      </c>
      <c r="K177" s="764">
        <f>SUM(K76:K176)</f>
        <v>0</v>
      </c>
      <c r="L177" s="767"/>
      <c r="M177" s="764">
        <f>SUM(M76:M176)</f>
        <v>0</v>
      </c>
      <c r="N177" s="764">
        <f>SUM(N76:N176)</f>
        <v>0</v>
      </c>
      <c r="O177" s="764">
        <f>SUM(O76:O176)</f>
        <v>0</v>
      </c>
      <c r="P177" s="767"/>
      <c r="Q177" s="764">
        <f>SUM(Q76:Q176)</f>
        <v>0</v>
      </c>
      <c r="R177" s="764">
        <f>SUM(R76:R176)</f>
        <v>0</v>
      </c>
      <c r="S177" s="764">
        <f>SUM(S76:S176)</f>
        <v>0</v>
      </c>
    </row>
    <row r="178" spans="1:19" ht="13.5" thickTop="1">
      <c r="A178" s="770"/>
      <c r="B178" s="754"/>
      <c r="C178" s="765"/>
      <c r="D178" s="765"/>
      <c r="E178" s="765"/>
      <c r="F178" s="765"/>
      <c r="G178" s="765"/>
      <c r="H178" s="761"/>
      <c r="I178" s="765"/>
      <c r="J178" s="765"/>
      <c r="K178" s="765"/>
      <c r="L178" s="761"/>
      <c r="M178" s="765"/>
      <c r="N178" s="765"/>
      <c r="O178" s="765"/>
      <c r="P178" s="761"/>
      <c r="Q178" s="765"/>
      <c r="R178" s="765"/>
      <c r="S178" s="765"/>
    </row>
    <row r="179" spans="1:19">
      <c r="A179" s="770"/>
      <c r="B179" s="754"/>
      <c r="C179" s="761"/>
      <c r="D179" s="761"/>
      <c r="E179" s="761"/>
      <c r="F179" s="761"/>
      <c r="G179" s="761"/>
      <c r="H179" s="761"/>
      <c r="I179" s="761"/>
      <c r="J179" s="761"/>
      <c r="K179" s="761"/>
      <c r="L179" s="761"/>
      <c r="M179" s="761"/>
      <c r="N179" s="761"/>
      <c r="O179" s="761"/>
      <c r="P179" s="761"/>
      <c r="Q179" s="761"/>
      <c r="R179" s="761"/>
      <c r="S179" s="761"/>
    </row>
    <row r="180" spans="1:19">
      <c r="A180" s="770">
        <f>+A177+1</f>
        <v>11</v>
      </c>
      <c r="B180" t="s">
        <v>723</v>
      </c>
      <c r="C180" s="761">
        <f>SUM(M180:O180)</f>
        <v>0</v>
      </c>
      <c r="D180" s="761">
        <f>SUM(Q180:S180)</f>
        <v>0</v>
      </c>
      <c r="E180" s="761"/>
      <c r="F180" s="761"/>
      <c r="G180" s="761">
        <f>ROUND(SUM(C180:F180)/2,0)</f>
        <v>0</v>
      </c>
      <c r="H180" s="761"/>
      <c r="I180" s="761">
        <f>(M180+Q180)/2</f>
        <v>0</v>
      </c>
      <c r="J180" s="761">
        <f>(N180+R180)/2</f>
        <v>0</v>
      </c>
      <c r="K180" s="761">
        <f>(O180+S180)/2</f>
        <v>0</v>
      </c>
      <c r="L180" s="761"/>
      <c r="M180" s="604"/>
      <c r="N180" s="604"/>
      <c r="O180" s="604"/>
      <c r="P180" s="761"/>
      <c r="Q180" s="604"/>
      <c r="R180" s="604"/>
      <c r="S180" s="604"/>
    </row>
    <row r="181" spans="1:19">
      <c r="A181" s="780">
        <f>A180+0.01</f>
        <v>11.01</v>
      </c>
      <c r="B181" s="604"/>
      <c r="C181" s="604"/>
      <c r="D181" s="604"/>
      <c r="E181" s="761">
        <f>-C181</f>
        <v>0</v>
      </c>
      <c r="F181" s="761">
        <f>-D181</f>
        <v>0</v>
      </c>
      <c r="G181" s="761">
        <f>ROUND(SUM(C181:F181)/2,0)</f>
        <v>0</v>
      </c>
      <c r="H181" s="761"/>
      <c r="I181" s="761"/>
      <c r="J181" s="761"/>
      <c r="K181" s="761"/>
      <c r="L181" s="761"/>
      <c r="M181" s="761"/>
      <c r="N181" s="761"/>
      <c r="O181" s="761"/>
      <c r="P181" s="761"/>
      <c r="Q181" s="761"/>
      <c r="R181" s="761"/>
      <c r="S181" s="761"/>
    </row>
    <row r="182" spans="1:19">
      <c r="A182" s="770"/>
      <c r="B182" s="754"/>
      <c r="C182" s="761"/>
      <c r="D182" s="761"/>
      <c r="E182" s="761"/>
      <c r="F182" s="761"/>
      <c r="G182" s="761"/>
      <c r="H182" s="761"/>
      <c r="I182" s="761"/>
      <c r="J182" s="761"/>
      <c r="K182" s="761"/>
      <c r="L182" s="761"/>
      <c r="M182" s="761"/>
      <c r="N182" s="761"/>
      <c r="O182" s="761"/>
      <c r="P182" s="761"/>
      <c r="Q182" s="761"/>
      <c r="R182" s="761"/>
      <c r="S182" s="761"/>
    </row>
    <row r="183" spans="1:19" ht="13.5" thickBot="1">
      <c r="A183" s="770">
        <f>+A180+1</f>
        <v>12</v>
      </c>
      <c r="B183" s="3" t="s">
        <v>724</v>
      </c>
      <c r="C183" s="764">
        <f>SUM(C177:C182)</f>
        <v>0</v>
      </c>
      <c r="D183" s="764">
        <f>SUM(D177:D182)</f>
        <v>0</v>
      </c>
      <c r="E183" s="764">
        <f>SUM(E177:E182)</f>
        <v>0</v>
      </c>
      <c r="F183" s="764">
        <f>SUM(F177:F182)</f>
        <v>0</v>
      </c>
      <c r="G183" s="764">
        <f>SUM(G177:G182)</f>
        <v>0</v>
      </c>
      <c r="H183" s="761"/>
      <c r="I183" s="764">
        <f>SUM(I177:I182)</f>
        <v>0</v>
      </c>
      <c r="J183" s="764">
        <f>SUM(J177:J182)</f>
        <v>0</v>
      </c>
      <c r="K183" s="764">
        <f>SUM(K177:K182)</f>
        <v>0</v>
      </c>
      <c r="L183" s="761"/>
      <c r="M183" s="768">
        <f>SUM(M177:M182)</f>
        <v>0</v>
      </c>
      <c r="N183" s="768">
        <f>SUM(N177:N182)</f>
        <v>0</v>
      </c>
      <c r="O183" s="768">
        <f>SUM(O177:O182)</f>
        <v>0</v>
      </c>
      <c r="P183" s="761"/>
      <c r="Q183" s="764">
        <f>SUM(Q177:Q182)</f>
        <v>0</v>
      </c>
      <c r="R183" s="764">
        <f>SUM(R177:R182)</f>
        <v>0</v>
      </c>
      <c r="S183" s="764">
        <f>SUM(S177:S182)</f>
        <v>0</v>
      </c>
    </row>
    <row r="184" spans="1:19" ht="13.5" thickTop="1">
      <c r="A184" s="770">
        <f>A183+1</f>
        <v>13</v>
      </c>
      <c r="B184" s="18" t="s">
        <v>735</v>
      </c>
      <c r="C184" s="765">
        <f>C106+C139</f>
        <v>0</v>
      </c>
      <c r="D184" s="765">
        <f>D106+D139</f>
        <v>0</v>
      </c>
      <c r="E184" s="765">
        <f>E106+E139</f>
        <v>0</v>
      </c>
      <c r="F184" s="765">
        <f>F106+F139</f>
        <v>0</v>
      </c>
      <c r="G184" s="765">
        <f>G106+G139</f>
        <v>0</v>
      </c>
      <c r="H184" s="761"/>
      <c r="I184" s="765">
        <f>I106+I139</f>
        <v>0</v>
      </c>
      <c r="J184" s="765">
        <f>J106+J139</f>
        <v>0</v>
      </c>
      <c r="K184" s="765">
        <f>K106+K139</f>
        <v>0</v>
      </c>
      <c r="L184" s="761"/>
      <c r="M184" s="765">
        <f>M106+M139</f>
        <v>0</v>
      </c>
      <c r="N184" s="765">
        <f>N106+N139</f>
        <v>0</v>
      </c>
      <c r="O184" s="765">
        <f>O106+O139</f>
        <v>0</v>
      </c>
      <c r="P184" s="761"/>
      <c r="Q184" s="765">
        <f>Q106+Q139</f>
        <v>0</v>
      </c>
      <c r="R184" s="765">
        <f>R106+R139</f>
        <v>0</v>
      </c>
      <c r="S184" s="765">
        <f>S106+S139</f>
        <v>0</v>
      </c>
    </row>
    <row r="185" spans="1:19">
      <c r="A185" s="770"/>
      <c r="B185" s="754"/>
      <c r="C185" s="761"/>
      <c r="D185" s="761"/>
      <c r="E185" s="761"/>
      <c r="F185" s="761"/>
      <c r="G185" s="761"/>
      <c r="H185" s="761"/>
      <c r="I185" s="761"/>
      <c r="J185" s="761"/>
      <c r="K185" s="761"/>
      <c r="L185" s="761"/>
      <c r="M185" s="761"/>
      <c r="N185" s="761"/>
      <c r="O185" s="761"/>
      <c r="P185" s="761"/>
      <c r="Q185" s="761"/>
      <c r="R185" s="761"/>
      <c r="S185" s="761"/>
    </row>
    <row r="186" spans="1:19">
      <c r="A186" s="770">
        <f>+A184+1</f>
        <v>14</v>
      </c>
      <c r="B186" t="s">
        <v>725</v>
      </c>
      <c r="C186" s="761"/>
      <c r="D186" s="761"/>
      <c r="E186" s="761"/>
      <c r="F186" s="761"/>
      <c r="G186" s="761"/>
      <c r="H186" s="761"/>
      <c r="I186" s="761"/>
      <c r="J186" s="761"/>
      <c r="K186" s="761"/>
      <c r="L186" s="761"/>
      <c r="M186" s="761"/>
      <c r="N186" s="761"/>
      <c r="O186" s="761"/>
      <c r="P186" s="761"/>
      <c r="Q186" s="761"/>
      <c r="R186" s="761"/>
      <c r="S186" s="761"/>
    </row>
    <row r="187" spans="1:19">
      <c r="A187" s="770"/>
      <c r="B187" s="754"/>
      <c r="C187" s="761"/>
      <c r="D187" s="761"/>
      <c r="E187" s="761"/>
      <c r="F187" s="761"/>
      <c r="G187" s="761"/>
      <c r="H187" s="761"/>
      <c r="I187" s="761"/>
      <c r="J187" s="761"/>
      <c r="K187" s="761"/>
      <c r="L187" s="761"/>
      <c r="M187" s="761"/>
      <c r="N187" s="761"/>
      <c r="O187" s="761"/>
      <c r="P187" s="761"/>
      <c r="Q187" s="761"/>
      <c r="R187" s="761"/>
      <c r="S187" s="761"/>
    </row>
    <row r="188" spans="1:19">
      <c r="A188" s="770">
        <f>+A186+1</f>
        <v>15</v>
      </c>
      <c r="B188" t="s">
        <v>726</v>
      </c>
      <c r="C188" s="761"/>
      <c r="D188" s="761"/>
      <c r="E188" s="761"/>
      <c r="F188" s="761"/>
      <c r="G188" s="761"/>
      <c r="H188" s="761"/>
      <c r="I188" s="761"/>
      <c r="J188" s="761"/>
      <c r="K188" s="761"/>
      <c r="L188" s="761"/>
      <c r="M188" s="761"/>
      <c r="N188" s="761"/>
      <c r="O188" s="761"/>
      <c r="P188" s="761"/>
      <c r="Q188" s="761"/>
      <c r="R188" s="761"/>
      <c r="S188" s="761"/>
    </row>
    <row r="189" spans="1:19">
      <c r="A189" s="770"/>
      <c r="B189" s="754"/>
      <c r="C189" s="761"/>
      <c r="D189" s="767"/>
      <c r="E189" s="767"/>
      <c r="F189" s="767"/>
      <c r="G189" s="767"/>
      <c r="H189" s="767"/>
      <c r="I189" s="767"/>
      <c r="J189" s="767"/>
      <c r="K189" s="767"/>
      <c r="L189" s="767"/>
      <c r="M189" s="761"/>
      <c r="N189" s="761"/>
      <c r="O189" s="761"/>
      <c r="P189" s="761"/>
      <c r="Q189" s="761"/>
      <c r="R189" s="761"/>
      <c r="S189" s="761"/>
    </row>
    <row r="190" spans="1:19">
      <c r="A190" s="770">
        <f>+A188+1</f>
        <v>16</v>
      </c>
      <c r="B190" t="s">
        <v>727</v>
      </c>
      <c r="C190" s="761"/>
      <c r="D190" s="767"/>
      <c r="E190" s="767"/>
      <c r="F190" s="767"/>
      <c r="G190" s="767"/>
      <c r="H190" s="767"/>
      <c r="I190" s="767"/>
      <c r="J190" s="767"/>
      <c r="K190" s="767"/>
      <c r="L190" s="767"/>
      <c r="M190" s="761"/>
      <c r="N190" s="761"/>
      <c r="O190" s="761"/>
      <c r="P190" s="761"/>
      <c r="Q190" s="761"/>
      <c r="R190" s="761"/>
      <c r="S190" s="761"/>
    </row>
    <row r="191" spans="1:19">
      <c r="A191" s="770"/>
      <c r="B191" s="754"/>
      <c r="C191" s="761"/>
      <c r="D191" s="761"/>
      <c r="E191" s="761"/>
      <c r="F191" s="761"/>
      <c r="G191" s="761"/>
      <c r="H191" s="761"/>
      <c r="I191" s="761"/>
      <c r="J191" s="761"/>
      <c r="K191" s="761"/>
      <c r="L191" s="761"/>
      <c r="M191" s="761"/>
      <c r="N191" s="761"/>
      <c r="O191" s="761"/>
      <c r="P191" s="761"/>
      <c r="Q191" s="761"/>
      <c r="R191" s="761"/>
      <c r="S191" s="761"/>
    </row>
    <row r="192" spans="1:19">
      <c r="A192" s="770">
        <f>+A190+1</f>
        <v>17</v>
      </c>
      <c r="B192" t="s">
        <v>728</v>
      </c>
      <c r="C192" s="761"/>
      <c r="D192" s="761"/>
      <c r="E192" s="761"/>
      <c r="F192" s="761"/>
      <c r="G192" s="761"/>
      <c r="H192" s="761"/>
      <c r="I192" s="761"/>
      <c r="J192" s="761"/>
      <c r="K192" s="761"/>
      <c r="L192" s="761"/>
      <c r="M192" s="761"/>
      <c r="N192" s="761"/>
      <c r="O192" s="761"/>
      <c r="P192" s="761"/>
      <c r="Q192" s="761"/>
      <c r="R192" s="761"/>
      <c r="S192" s="761"/>
    </row>
    <row r="193" spans="1:19">
      <c r="A193" s="770">
        <f>A192+1</f>
        <v>18</v>
      </c>
      <c r="B193" t="s">
        <v>729</v>
      </c>
      <c r="C193" s="761"/>
      <c r="D193" s="761"/>
      <c r="E193" s="761"/>
      <c r="F193" s="761"/>
      <c r="G193" s="761"/>
      <c r="H193" s="761"/>
      <c r="I193" s="761"/>
      <c r="J193" s="761"/>
      <c r="K193" s="761"/>
      <c r="L193" s="761"/>
      <c r="M193" s="761"/>
      <c r="N193" s="761"/>
      <c r="O193" s="761"/>
      <c r="P193" s="761"/>
      <c r="Q193" s="604"/>
      <c r="R193" s="761"/>
      <c r="S193" s="761"/>
    </row>
    <row r="194" spans="1:19">
      <c r="A194" s="780">
        <f>A193+0.01</f>
        <v>18.010000000000002</v>
      </c>
      <c r="B194" s="604"/>
      <c r="C194" s="761">
        <f>SUM(M194:O194)</f>
        <v>0</v>
      </c>
      <c r="D194" s="761">
        <f>SUM(Q194:S194)</f>
        <v>0</v>
      </c>
      <c r="E194" s="761"/>
      <c r="F194" s="761"/>
      <c r="G194" s="761">
        <f>ROUND(SUM(C194:F194)/2,0)</f>
        <v>0</v>
      </c>
      <c r="H194" s="761"/>
      <c r="I194" s="761">
        <f t="shared" ref="I194:K195" si="24">(M194+Q194)/2</f>
        <v>0</v>
      </c>
      <c r="J194" s="761">
        <f t="shared" si="24"/>
        <v>0</v>
      </c>
      <c r="K194" s="761">
        <f t="shared" si="24"/>
        <v>0</v>
      </c>
      <c r="L194" s="761"/>
      <c r="M194" s="604"/>
      <c r="N194" s="604"/>
      <c r="O194" s="604"/>
      <c r="P194" s="761"/>
      <c r="Q194" s="604"/>
      <c r="R194" s="604"/>
      <c r="S194" s="604"/>
    </row>
    <row r="195" spans="1:19">
      <c r="A195" s="780">
        <f>A194+0.01</f>
        <v>18.020000000000003</v>
      </c>
      <c r="B195" s="604"/>
      <c r="C195" s="761">
        <f>SUM(M195:O195)</f>
        <v>0</v>
      </c>
      <c r="D195" s="761">
        <f>SUM(Q195:S195)</f>
        <v>0</v>
      </c>
      <c r="E195" s="761"/>
      <c r="F195" s="761"/>
      <c r="G195" s="761">
        <f>ROUND(SUM(C195:F195)/2,0)</f>
        <v>0</v>
      </c>
      <c r="H195" s="761"/>
      <c r="I195" s="761">
        <f t="shared" si="24"/>
        <v>0</v>
      </c>
      <c r="J195" s="761">
        <f t="shared" si="24"/>
        <v>0</v>
      </c>
      <c r="K195" s="761">
        <f t="shared" si="24"/>
        <v>0</v>
      </c>
      <c r="L195" s="761"/>
      <c r="M195" s="604"/>
      <c r="N195" s="604"/>
      <c r="O195" s="604"/>
      <c r="P195" s="761"/>
      <c r="Q195" s="604"/>
      <c r="R195" s="604"/>
      <c r="S195" s="604"/>
    </row>
    <row r="196" spans="1:19">
      <c r="A196" s="770">
        <f>INT(A195)+1</f>
        <v>19</v>
      </c>
      <c r="C196" s="761"/>
      <c r="D196" s="761"/>
      <c r="E196" s="761"/>
      <c r="F196" s="761"/>
      <c r="G196" s="761"/>
      <c r="H196" s="761"/>
      <c r="I196" s="761"/>
      <c r="J196" s="761"/>
      <c r="K196" s="761"/>
      <c r="L196" s="761"/>
      <c r="M196" s="761"/>
      <c r="N196" s="761"/>
      <c r="O196" s="761"/>
      <c r="P196" s="761"/>
      <c r="Q196" s="761"/>
      <c r="R196" s="761"/>
      <c r="S196" s="761"/>
    </row>
    <row r="197" spans="1:19">
      <c r="A197" s="770">
        <f>A196+1</f>
        <v>20</v>
      </c>
      <c r="B197" t="s">
        <v>730</v>
      </c>
      <c r="C197" s="764">
        <f>SUM(C194:C196)</f>
        <v>0</v>
      </c>
      <c r="D197" s="764">
        <f>SUM(D194:D196)</f>
        <v>0</v>
      </c>
      <c r="E197" s="764">
        <f>SUM(E194:E196)</f>
        <v>0</v>
      </c>
      <c r="F197" s="764">
        <f>SUM(F194:F196)</f>
        <v>0</v>
      </c>
      <c r="G197" s="764">
        <f>SUM(G194:G196)</f>
        <v>0</v>
      </c>
      <c r="H197" s="761"/>
      <c r="I197" s="764">
        <f>SUM(I194:I196)</f>
        <v>0</v>
      </c>
      <c r="J197" s="764">
        <f>SUM(J194:J196)</f>
        <v>0</v>
      </c>
      <c r="K197" s="764">
        <f>SUM(K194:K196)</f>
        <v>0</v>
      </c>
      <c r="L197" s="761"/>
      <c r="M197" s="764">
        <f>SUM(M194:M196)</f>
        <v>0</v>
      </c>
      <c r="N197" s="764">
        <f>SUM(N194:N196)</f>
        <v>0</v>
      </c>
      <c r="O197" s="764">
        <f>SUM(O194:O196)</f>
        <v>0</v>
      </c>
      <c r="P197" s="761"/>
      <c r="Q197" s="764">
        <f>SUM(Q194:Q196)</f>
        <v>0</v>
      </c>
      <c r="R197" s="764">
        <f>SUM(R194:R196)</f>
        <v>0</v>
      </c>
      <c r="S197" s="764">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64"/>
  <sheetViews>
    <sheetView view="pageBreakPreview" topLeftCell="C1" zoomScale="60" zoomScaleNormal="100" workbookViewId="0">
      <selection activeCell="S133" sqref="S133"/>
    </sheetView>
  </sheetViews>
  <sheetFormatPr defaultRowHeight="12.75"/>
  <cols>
    <col min="1" max="1" width="7" bestFit="1" customWidth="1"/>
    <col min="2" max="2" width="54.5703125" bestFit="1" customWidth="1"/>
    <col min="3" max="3" width="13.42578125" bestFit="1" customWidth="1"/>
    <col min="4" max="4" width="12.85546875" bestFit="1" customWidth="1"/>
    <col min="5" max="6" width="17" customWidth="1"/>
    <col min="7" max="7" width="15.28515625" bestFit="1" customWidth="1"/>
    <col min="8" max="8" width="3" customWidth="1"/>
    <col min="9" max="9" width="13.140625" bestFit="1" customWidth="1"/>
    <col min="10" max="10" width="15" bestFit="1" customWidth="1"/>
    <col min="11" max="11" width="13.5703125" bestFit="1" customWidth="1"/>
    <col min="12" max="12" width="3.85546875" customWidth="1"/>
    <col min="13" max="13" width="13.140625" bestFit="1" customWidth="1"/>
    <col min="14" max="14" width="15" bestFit="1" customWidth="1"/>
    <col min="15" max="15" width="13.5703125" bestFit="1" customWidth="1"/>
    <col min="16" max="16" width="3.42578125" customWidth="1"/>
    <col min="17" max="17" width="13.140625" bestFit="1" customWidth="1"/>
    <col min="18" max="18" width="15" bestFit="1" customWidth="1"/>
    <col min="19" max="19" width="13.5703125" bestFit="1" customWidth="1"/>
  </cols>
  <sheetData>
    <row r="1" spans="1:19">
      <c r="A1" s="771"/>
      <c r="B1" s="811" t="str">
        <f>TCOS!F9</f>
        <v>WHEELING POWER COMPANY</v>
      </c>
      <c r="C1" s="754"/>
      <c r="D1" s="754"/>
      <c r="E1" s="754"/>
      <c r="F1" s="754"/>
      <c r="M1" s="754"/>
      <c r="N1" s="754"/>
      <c r="P1" s="754"/>
      <c r="Q1" s="754"/>
      <c r="R1" s="754"/>
    </row>
    <row r="2" spans="1:19">
      <c r="A2" s="771"/>
      <c r="B2" s="164" t="s">
        <v>813</v>
      </c>
      <c r="C2" s="754"/>
      <c r="D2" s="754"/>
      <c r="E2" s="754"/>
      <c r="F2" s="754"/>
      <c r="M2" s="754"/>
      <c r="N2" s="754"/>
      <c r="P2" s="754"/>
      <c r="Q2" s="754"/>
      <c r="R2" s="754"/>
    </row>
    <row r="3" spans="1:19">
      <c r="A3" s="771"/>
      <c r="B3" s="164" t="str">
        <f>"PERIOD ENDED DECEMBER 31, "&amp;TCOS!L4</f>
        <v>PERIOD ENDED DECEMBER 31, 2026</v>
      </c>
      <c r="C3" s="754"/>
      <c r="D3" s="754"/>
      <c r="E3" s="754"/>
      <c r="F3" s="754"/>
      <c r="G3" s="754"/>
      <c r="H3" s="754"/>
      <c r="I3" s="754"/>
      <c r="J3" s="754"/>
      <c r="K3" s="754"/>
      <c r="L3" s="754"/>
      <c r="M3" s="754"/>
      <c r="N3" s="754"/>
      <c r="O3" s="754"/>
      <c r="P3" s="754"/>
      <c r="Q3" s="754"/>
      <c r="R3" s="754"/>
      <c r="S3" s="754"/>
    </row>
    <row r="4" spans="1:19">
      <c r="A4" s="771"/>
      <c r="B4" s="760"/>
      <c r="C4" s="754"/>
      <c r="D4" s="754"/>
      <c r="E4" s="754"/>
      <c r="F4" s="754"/>
      <c r="G4" s="1" t="s">
        <v>731</v>
      </c>
      <c r="H4" s="754"/>
      <c r="I4" s="754"/>
      <c r="J4" s="754"/>
      <c r="K4" s="754"/>
      <c r="L4" s="754"/>
      <c r="M4" s="754"/>
      <c r="N4" s="754"/>
      <c r="O4" s="754"/>
      <c r="P4" s="754"/>
      <c r="Q4" s="754"/>
      <c r="R4" s="754"/>
      <c r="S4" s="754"/>
    </row>
    <row r="5" spans="1:19">
      <c r="A5" s="771"/>
      <c r="B5" s="754"/>
      <c r="C5" s="754"/>
      <c r="D5" s="754"/>
      <c r="E5" s="754"/>
      <c r="F5" s="754"/>
      <c r="G5" s="754"/>
      <c r="H5" s="754"/>
      <c r="I5" s="754"/>
      <c r="J5" s="754"/>
      <c r="K5" s="754"/>
      <c r="L5" s="754"/>
      <c r="M5" s="754"/>
      <c r="N5" s="754"/>
      <c r="O5" s="754"/>
      <c r="P5" s="754"/>
      <c r="Q5" s="754"/>
      <c r="R5" s="754"/>
      <c r="S5" s="754"/>
    </row>
    <row r="6" spans="1:19">
      <c r="A6" s="771"/>
      <c r="B6" s="754"/>
      <c r="C6" s="754"/>
      <c r="D6" s="754"/>
      <c r="E6" s="754"/>
      <c r="F6" s="754"/>
      <c r="G6" s="754"/>
      <c r="H6" s="1"/>
      <c r="I6" s="1"/>
      <c r="J6" s="1"/>
      <c r="K6" s="1"/>
      <c r="L6" s="1"/>
      <c r="M6" s="754"/>
      <c r="N6" s="754"/>
      <c r="O6" s="754"/>
      <c r="P6" s="754"/>
      <c r="Q6" s="754"/>
      <c r="R6" s="754"/>
      <c r="S6" s="754"/>
    </row>
    <row r="7" spans="1:19">
      <c r="A7" s="771"/>
      <c r="B7" s="754"/>
      <c r="C7" s="754"/>
      <c r="D7" s="754"/>
      <c r="E7" s="754"/>
      <c r="F7" s="754"/>
      <c r="G7" s="754"/>
      <c r="H7" s="754"/>
      <c r="I7" s="754"/>
      <c r="J7" s="754"/>
      <c r="K7" s="754"/>
      <c r="L7" s="754"/>
      <c r="M7" s="754"/>
      <c r="N7" s="754"/>
      <c r="O7" s="754"/>
      <c r="P7" s="754"/>
      <c r="Q7" s="754"/>
      <c r="R7" s="754"/>
      <c r="S7" s="754"/>
    </row>
    <row r="8" spans="1:19">
      <c r="A8" s="771"/>
      <c r="B8" s="755" t="s">
        <v>691</v>
      </c>
      <c r="C8" s="755" t="s">
        <v>692</v>
      </c>
      <c r="D8" s="755" t="s">
        <v>693</v>
      </c>
      <c r="E8" s="755" t="s">
        <v>694</v>
      </c>
      <c r="F8" s="755" t="s">
        <v>695</v>
      </c>
      <c r="G8" s="755" t="s">
        <v>696</v>
      </c>
      <c r="H8" s="755"/>
      <c r="I8" s="755" t="s">
        <v>697</v>
      </c>
      <c r="J8" s="755" t="s">
        <v>698</v>
      </c>
      <c r="K8" s="755" t="s">
        <v>699</v>
      </c>
      <c r="L8" s="755"/>
      <c r="M8" s="755" t="s">
        <v>700</v>
      </c>
      <c r="N8" s="755" t="s">
        <v>701</v>
      </c>
      <c r="O8" s="755" t="s">
        <v>702</v>
      </c>
      <c r="P8" s="754"/>
      <c r="Q8" s="755" t="s">
        <v>703</v>
      </c>
      <c r="R8" s="755" t="s">
        <v>704</v>
      </c>
      <c r="S8" s="755" t="s">
        <v>705</v>
      </c>
    </row>
    <row r="9" spans="1:19">
      <c r="A9" s="771"/>
      <c r="B9" s="754"/>
      <c r="C9" s="754"/>
      <c r="D9" s="754"/>
      <c r="E9" s="754"/>
      <c r="F9" s="754"/>
      <c r="G9" s="754"/>
      <c r="H9" s="754"/>
      <c r="I9" s="754"/>
      <c r="J9" s="754"/>
      <c r="K9" s="754"/>
      <c r="L9" s="754"/>
      <c r="M9" s="754"/>
      <c r="N9" s="754"/>
      <c r="O9" s="754"/>
      <c r="P9" s="754"/>
      <c r="Q9" s="754"/>
      <c r="R9" s="754"/>
      <c r="S9" s="754"/>
    </row>
    <row r="10" spans="1:19">
      <c r="A10" s="771"/>
      <c r="B10" s="754"/>
      <c r="C10" s="756" t="s">
        <v>706</v>
      </c>
      <c r="D10" s="756"/>
      <c r="E10" s="757" t="s">
        <v>707</v>
      </c>
      <c r="F10" s="756"/>
      <c r="G10" s="1" t="s">
        <v>708</v>
      </c>
      <c r="H10" s="1"/>
      <c r="I10" s="756" t="s">
        <v>709</v>
      </c>
      <c r="J10" s="756"/>
      <c r="K10" s="756"/>
      <c r="L10" s="1"/>
      <c r="M10" s="758" t="str">
        <f>"FUNCTIONALIZATION 12/31/"&amp;TCOS!L4-1</f>
        <v>FUNCTIONALIZATION 12/31/2025</v>
      </c>
      <c r="N10" s="756"/>
      <c r="O10" s="756"/>
      <c r="P10" s="754"/>
      <c r="Q10" s="758" t="str">
        <f>"FUNCTIONALIZATION 12/31/"&amp;TCOS!L4</f>
        <v>FUNCTIONALIZATION 12/31/2026</v>
      </c>
      <c r="R10" s="756"/>
      <c r="S10" s="756"/>
    </row>
    <row r="11" spans="1:19">
      <c r="A11" s="771"/>
      <c r="B11" s="754"/>
      <c r="C11" s="759"/>
      <c r="D11" s="759"/>
      <c r="E11" s="754"/>
      <c r="F11" s="754"/>
      <c r="G11" s="1" t="s">
        <v>710</v>
      </c>
      <c r="H11" s="1"/>
      <c r="I11" s="759"/>
      <c r="J11" s="759"/>
      <c r="K11" s="759"/>
      <c r="L11" s="1"/>
      <c r="M11" s="759"/>
      <c r="N11" s="759"/>
      <c r="O11" s="759"/>
      <c r="P11" s="754"/>
      <c r="Q11" s="759"/>
      <c r="R11" s="759"/>
      <c r="S11" s="759"/>
    </row>
    <row r="12" spans="1:19">
      <c r="A12" s="771"/>
      <c r="B12" s="754"/>
      <c r="C12" s="1" t="s">
        <v>711</v>
      </c>
      <c r="D12" s="1" t="s">
        <v>711</v>
      </c>
      <c r="E12" s="1" t="s">
        <v>711</v>
      </c>
      <c r="F12" s="1" t="s">
        <v>711</v>
      </c>
      <c r="G12" s="1" t="s">
        <v>712</v>
      </c>
      <c r="H12" s="1"/>
      <c r="I12" s="754"/>
      <c r="J12" s="754"/>
      <c r="K12" s="754"/>
      <c r="L12" s="1"/>
      <c r="M12" s="754"/>
      <c r="N12" s="754"/>
      <c r="O12" s="754"/>
      <c r="P12" s="754"/>
      <c r="Q12" s="754"/>
      <c r="R12" s="754"/>
      <c r="S12" s="754"/>
    </row>
    <row r="13" spans="1:19">
      <c r="A13" s="771"/>
      <c r="B13" s="755" t="s">
        <v>713</v>
      </c>
      <c r="C13" s="755" t="str">
        <f>"OF 12-31-"&amp;TCOS!L4-1</f>
        <v>OF 12-31-2025</v>
      </c>
      <c r="D13" s="755" t="str">
        <f>"OF 12-31-"&amp;TCOS!L4</f>
        <v>OF 12-31-2026</v>
      </c>
      <c r="E13" s="755" t="str">
        <f>"OF 12-31-"&amp;TCOS!L4-1</f>
        <v>OF 12-31-2025</v>
      </c>
      <c r="F13" s="755" t="str">
        <f>"OF 12-31-"&amp;TCOS!L4</f>
        <v>OF 12-31-2026</v>
      </c>
      <c r="G13" s="755" t="s">
        <v>714</v>
      </c>
      <c r="H13" s="755"/>
      <c r="I13" s="755" t="s">
        <v>715</v>
      </c>
      <c r="J13" s="755" t="s">
        <v>716</v>
      </c>
      <c r="K13" s="755" t="s">
        <v>717</v>
      </c>
      <c r="L13" s="755"/>
      <c r="M13" s="755" t="s">
        <v>715</v>
      </c>
      <c r="N13" s="755" t="s">
        <v>716</v>
      </c>
      <c r="O13" s="755" t="s">
        <v>717</v>
      </c>
      <c r="P13" s="754"/>
      <c r="Q13" s="755" t="s">
        <v>715</v>
      </c>
      <c r="R13" s="755" t="s">
        <v>716</v>
      </c>
      <c r="S13" s="755" t="s">
        <v>717</v>
      </c>
    </row>
    <row r="14" spans="1:19">
      <c r="A14" s="771"/>
      <c r="B14" s="754"/>
      <c r="C14" s="754"/>
      <c r="D14" s="754"/>
      <c r="E14" s="754"/>
      <c r="F14" s="754"/>
      <c r="G14" s="754"/>
      <c r="H14" s="754"/>
      <c r="I14" s="754"/>
      <c r="J14" s="754"/>
      <c r="K14" s="754"/>
      <c r="L14" s="754"/>
      <c r="M14" s="754"/>
      <c r="N14" s="754"/>
      <c r="O14" s="754"/>
      <c r="P14" s="754"/>
      <c r="Q14" s="754"/>
      <c r="R14" s="754"/>
      <c r="S14" s="754"/>
    </row>
    <row r="15" spans="1:19">
      <c r="A15" s="595">
        <v>1</v>
      </c>
      <c r="B15" s="761" t="s">
        <v>732</v>
      </c>
      <c r="C15" s="761"/>
      <c r="D15" s="761"/>
      <c r="E15" s="761"/>
      <c r="F15" s="762"/>
      <c r="G15" s="761"/>
      <c r="H15" s="761"/>
      <c r="I15" s="761"/>
      <c r="J15" s="761"/>
      <c r="K15" s="761"/>
      <c r="L15" s="761"/>
      <c r="M15" s="761"/>
      <c r="N15" s="761"/>
      <c r="O15" s="761"/>
      <c r="P15" s="761"/>
      <c r="Q15" s="761"/>
      <c r="R15" s="761"/>
      <c r="S15" s="761"/>
    </row>
    <row r="16" spans="1:19">
      <c r="A16" s="595"/>
      <c r="B16" s="761"/>
      <c r="C16" s="761"/>
      <c r="D16" s="761"/>
      <c r="E16" s="761"/>
      <c r="F16" s="761"/>
      <c r="G16" s="761"/>
      <c r="H16" s="761"/>
      <c r="I16" s="761"/>
      <c r="J16" s="761"/>
      <c r="K16" s="761"/>
      <c r="L16" s="761"/>
      <c r="M16" s="761"/>
      <c r="N16" s="761"/>
      <c r="O16" s="761"/>
      <c r="P16" s="761"/>
      <c r="Q16" s="761"/>
      <c r="R16" s="761"/>
      <c r="S16" s="761"/>
    </row>
    <row r="17" spans="1:19">
      <c r="A17" s="780">
        <v>2.0099999999999998</v>
      </c>
      <c r="B17" s="604"/>
      <c r="C17" s="761">
        <f t="shared" ref="C17:C80" si="0">SUM(M17:O17)</f>
        <v>0</v>
      </c>
      <c r="D17" s="761">
        <f t="shared" ref="D17:D80" si="1">SUM(Q17:S17)</f>
        <v>0</v>
      </c>
      <c r="E17" s="761"/>
      <c r="F17" s="761"/>
      <c r="G17" s="761">
        <f t="shared" ref="G17:G80" si="2">ROUND(SUM(C17:F17)/2,0)</f>
        <v>0</v>
      </c>
      <c r="H17" s="761"/>
      <c r="I17" s="761">
        <f t="shared" ref="I17:K48" si="3">(M17+Q17)/2</f>
        <v>0</v>
      </c>
      <c r="J17" s="761">
        <f t="shared" si="3"/>
        <v>0</v>
      </c>
      <c r="K17" s="761">
        <f t="shared" si="3"/>
        <v>0</v>
      </c>
      <c r="L17" s="761"/>
      <c r="M17" s="604"/>
      <c r="N17" s="604"/>
      <c r="O17" s="604"/>
      <c r="P17" s="761"/>
      <c r="Q17" s="604"/>
      <c r="R17" s="604"/>
      <c r="S17" s="604"/>
    </row>
    <row r="18" spans="1:19">
      <c r="A18" s="780">
        <f>A17+0.01</f>
        <v>2.0199999999999996</v>
      </c>
      <c r="B18" s="604"/>
      <c r="C18" s="761">
        <f t="shared" si="0"/>
        <v>0</v>
      </c>
      <c r="D18" s="761">
        <f t="shared" si="1"/>
        <v>0</v>
      </c>
      <c r="E18" s="761"/>
      <c r="F18" s="761"/>
      <c r="G18" s="761">
        <f t="shared" si="2"/>
        <v>0</v>
      </c>
      <c r="H18" s="761"/>
      <c r="I18" s="761">
        <f t="shared" si="3"/>
        <v>0</v>
      </c>
      <c r="J18" s="761">
        <f t="shared" si="3"/>
        <v>0</v>
      </c>
      <c r="K18" s="761">
        <f t="shared" si="3"/>
        <v>0</v>
      </c>
      <c r="L18" s="761"/>
      <c r="M18" s="604"/>
      <c r="N18" s="604"/>
      <c r="O18" s="604"/>
      <c r="P18" s="761"/>
      <c r="Q18" s="604"/>
      <c r="R18" s="604"/>
      <c r="S18" s="604"/>
    </row>
    <row r="19" spans="1:19">
      <c r="A19" s="780">
        <f t="shared" ref="A19:A82" si="4">A18+0.01</f>
        <v>2.0299999999999994</v>
      </c>
      <c r="B19" s="604"/>
      <c r="C19" s="761">
        <f t="shared" si="0"/>
        <v>0</v>
      </c>
      <c r="D19" s="761">
        <f t="shared" si="1"/>
        <v>0</v>
      </c>
      <c r="E19" s="761"/>
      <c r="F19" s="761"/>
      <c r="G19" s="761">
        <f t="shared" si="2"/>
        <v>0</v>
      </c>
      <c r="H19" s="761"/>
      <c r="I19" s="761">
        <f t="shared" si="3"/>
        <v>0</v>
      </c>
      <c r="J19" s="761">
        <f t="shared" si="3"/>
        <v>0</v>
      </c>
      <c r="K19" s="761">
        <f t="shared" si="3"/>
        <v>0</v>
      </c>
      <c r="L19" s="761"/>
      <c r="M19" s="604"/>
      <c r="N19" s="604"/>
      <c r="O19" s="604"/>
      <c r="P19" s="761"/>
      <c r="Q19" s="604"/>
      <c r="R19" s="604"/>
      <c r="S19" s="604"/>
    </row>
    <row r="20" spans="1:19">
      <c r="A20" s="780">
        <f t="shared" si="4"/>
        <v>2.0399999999999991</v>
      </c>
      <c r="B20" s="604"/>
      <c r="C20" s="761">
        <f t="shared" si="0"/>
        <v>0</v>
      </c>
      <c r="D20" s="761">
        <f t="shared" si="1"/>
        <v>0</v>
      </c>
      <c r="E20" s="761"/>
      <c r="F20" s="761"/>
      <c r="G20" s="761">
        <f t="shared" si="2"/>
        <v>0</v>
      </c>
      <c r="H20" s="761"/>
      <c r="I20" s="761">
        <f t="shared" si="3"/>
        <v>0</v>
      </c>
      <c r="J20" s="761">
        <f t="shared" si="3"/>
        <v>0</v>
      </c>
      <c r="K20" s="761">
        <f t="shared" si="3"/>
        <v>0</v>
      </c>
      <c r="L20" s="761"/>
      <c r="M20" s="604"/>
      <c r="N20" s="604"/>
      <c r="O20" s="604"/>
      <c r="P20" s="761"/>
      <c r="Q20" s="604"/>
      <c r="R20" s="604"/>
      <c r="S20" s="604"/>
    </row>
    <row r="21" spans="1:19">
      <c r="A21" s="780">
        <f t="shared" si="4"/>
        <v>2.0499999999999989</v>
      </c>
      <c r="B21" s="604"/>
      <c r="C21" s="761">
        <f t="shared" si="0"/>
        <v>0</v>
      </c>
      <c r="D21" s="761">
        <f t="shared" si="1"/>
        <v>0</v>
      </c>
      <c r="E21" s="761"/>
      <c r="F21" s="761"/>
      <c r="G21" s="761">
        <f t="shared" si="2"/>
        <v>0</v>
      </c>
      <c r="H21" s="761"/>
      <c r="I21" s="761">
        <f t="shared" si="3"/>
        <v>0</v>
      </c>
      <c r="J21" s="761">
        <f t="shared" si="3"/>
        <v>0</v>
      </c>
      <c r="K21" s="761">
        <f t="shared" si="3"/>
        <v>0</v>
      </c>
      <c r="L21" s="761"/>
      <c r="M21" s="604"/>
      <c r="N21" s="604"/>
      <c r="O21" s="604"/>
      <c r="P21" s="761"/>
      <c r="Q21" s="604"/>
      <c r="R21" s="604"/>
      <c r="S21" s="604"/>
    </row>
    <row r="22" spans="1:19">
      <c r="A22" s="780">
        <f t="shared" si="4"/>
        <v>2.0599999999999987</v>
      </c>
      <c r="B22" s="604"/>
      <c r="C22" s="761">
        <f t="shared" si="0"/>
        <v>0</v>
      </c>
      <c r="D22" s="761">
        <f t="shared" si="1"/>
        <v>0</v>
      </c>
      <c r="E22" s="761"/>
      <c r="F22" s="761"/>
      <c r="G22" s="761">
        <f t="shared" si="2"/>
        <v>0</v>
      </c>
      <c r="H22" s="761"/>
      <c r="I22" s="761">
        <f t="shared" si="3"/>
        <v>0</v>
      </c>
      <c r="J22" s="761">
        <f t="shared" si="3"/>
        <v>0</v>
      </c>
      <c r="K22" s="761">
        <f t="shared" si="3"/>
        <v>0</v>
      </c>
      <c r="L22" s="761"/>
      <c r="M22" s="604"/>
      <c r="N22" s="604"/>
      <c r="O22" s="604"/>
      <c r="P22" s="761"/>
      <c r="Q22" s="604"/>
      <c r="R22" s="604"/>
      <c r="S22" s="604"/>
    </row>
    <row r="23" spans="1:19">
      <c r="A23" s="780">
        <f t="shared" si="4"/>
        <v>2.0699999999999985</v>
      </c>
      <c r="B23" s="604"/>
      <c r="C23" s="761">
        <f t="shared" si="0"/>
        <v>0</v>
      </c>
      <c r="D23" s="761">
        <f t="shared" si="1"/>
        <v>0</v>
      </c>
      <c r="E23" s="761"/>
      <c r="F23" s="761"/>
      <c r="G23" s="761">
        <f t="shared" si="2"/>
        <v>0</v>
      </c>
      <c r="H23" s="761"/>
      <c r="I23" s="761">
        <f t="shared" si="3"/>
        <v>0</v>
      </c>
      <c r="J23" s="761">
        <f t="shared" si="3"/>
        <v>0</v>
      </c>
      <c r="K23" s="761">
        <f t="shared" si="3"/>
        <v>0</v>
      </c>
      <c r="L23" s="761"/>
      <c r="M23" s="604"/>
      <c r="N23" s="604"/>
      <c r="O23" s="604"/>
      <c r="P23" s="761"/>
      <c r="Q23" s="604"/>
      <c r="R23" s="604"/>
      <c r="S23" s="604"/>
    </row>
    <row r="24" spans="1:19">
      <c r="A24" s="780">
        <f t="shared" si="4"/>
        <v>2.0799999999999983</v>
      </c>
      <c r="B24" s="604"/>
      <c r="C24" s="761">
        <f t="shared" si="0"/>
        <v>0</v>
      </c>
      <c r="D24" s="761">
        <f t="shared" si="1"/>
        <v>0</v>
      </c>
      <c r="E24" s="761"/>
      <c r="F24" s="761"/>
      <c r="G24" s="761">
        <f t="shared" si="2"/>
        <v>0</v>
      </c>
      <c r="H24" s="761"/>
      <c r="I24" s="761">
        <f t="shared" si="3"/>
        <v>0</v>
      </c>
      <c r="J24" s="761">
        <f t="shared" si="3"/>
        <v>0</v>
      </c>
      <c r="K24" s="761">
        <f t="shared" si="3"/>
        <v>0</v>
      </c>
      <c r="L24" s="761"/>
      <c r="M24" s="604"/>
      <c r="N24" s="604"/>
      <c r="O24" s="604"/>
      <c r="P24" s="761"/>
      <c r="Q24" s="604"/>
      <c r="R24" s="604"/>
      <c r="S24" s="604"/>
    </row>
    <row r="25" spans="1:19">
      <c r="A25" s="780">
        <f t="shared" si="4"/>
        <v>2.0899999999999981</v>
      </c>
      <c r="B25" s="604"/>
      <c r="C25" s="761">
        <f t="shared" si="0"/>
        <v>0</v>
      </c>
      <c r="D25" s="761">
        <f t="shared" si="1"/>
        <v>0</v>
      </c>
      <c r="E25" s="761"/>
      <c r="F25" s="761"/>
      <c r="G25" s="761">
        <f t="shared" si="2"/>
        <v>0</v>
      </c>
      <c r="H25" s="761"/>
      <c r="I25" s="761">
        <f t="shared" si="3"/>
        <v>0</v>
      </c>
      <c r="J25" s="761">
        <f t="shared" si="3"/>
        <v>0</v>
      </c>
      <c r="K25" s="761">
        <f t="shared" si="3"/>
        <v>0</v>
      </c>
      <c r="L25" s="761"/>
      <c r="M25" s="604"/>
      <c r="N25" s="604"/>
      <c r="O25" s="604"/>
      <c r="P25" s="761"/>
      <c r="Q25" s="604"/>
      <c r="R25" s="604"/>
      <c r="S25" s="604"/>
    </row>
    <row r="26" spans="1:19">
      <c r="A26" s="780">
        <f t="shared" si="4"/>
        <v>2.0999999999999979</v>
      </c>
      <c r="B26" s="604"/>
      <c r="C26" s="761">
        <f t="shared" si="0"/>
        <v>0</v>
      </c>
      <c r="D26" s="761">
        <f t="shared" si="1"/>
        <v>0</v>
      </c>
      <c r="E26" s="761"/>
      <c r="F26" s="761"/>
      <c r="G26" s="761">
        <f t="shared" si="2"/>
        <v>0</v>
      </c>
      <c r="H26" s="761"/>
      <c r="I26" s="761">
        <f t="shared" si="3"/>
        <v>0</v>
      </c>
      <c r="J26" s="761">
        <f t="shared" si="3"/>
        <v>0</v>
      </c>
      <c r="K26" s="761">
        <f t="shared" si="3"/>
        <v>0</v>
      </c>
      <c r="L26" s="761"/>
      <c r="M26" s="604"/>
      <c r="N26" s="604"/>
      <c r="O26" s="604"/>
      <c r="P26" s="761"/>
      <c r="Q26" s="604"/>
      <c r="R26" s="604"/>
      <c r="S26" s="604"/>
    </row>
    <row r="27" spans="1:19" hidden="1">
      <c r="A27" s="780">
        <f t="shared" si="4"/>
        <v>2.1099999999999977</v>
      </c>
      <c r="B27" s="604"/>
      <c r="C27" s="761">
        <f t="shared" si="0"/>
        <v>0</v>
      </c>
      <c r="D27" s="761">
        <f t="shared" si="1"/>
        <v>0</v>
      </c>
      <c r="E27" s="761"/>
      <c r="F27" s="761"/>
      <c r="G27" s="761">
        <f t="shared" si="2"/>
        <v>0</v>
      </c>
      <c r="H27" s="761"/>
      <c r="I27" s="761">
        <f t="shared" si="3"/>
        <v>0</v>
      </c>
      <c r="J27" s="761">
        <f t="shared" si="3"/>
        <v>0</v>
      </c>
      <c r="K27" s="761">
        <f t="shared" si="3"/>
        <v>0</v>
      </c>
      <c r="L27" s="761"/>
      <c r="M27" s="604"/>
      <c r="N27" s="604"/>
      <c r="O27" s="604"/>
      <c r="P27" s="761"/>
      <c r="Q27" s="604"/>
      <c r="R27" s="604"/>
      <c r="S27" s="604"/>
    </row>
    <row r="28" spans="1:19" hidden="1">
      <c r="A28" s="780">
        <f t="shared" si="4"/>
        <v>2.1199999999999974</v>
      </c>
      <c r="B28" s="604"/>
      <c r="C28" s="761">
        <f t="shared" si="0"/>
        <v>0</v>
      </c>
      <c r="D28" s="761">
        <f t="shared" si="1"/>
        <v>0</v>
      </c>
      <c r="E28" s="761"/>
      <c r="F28" s="761"/>
      <c r="G28" s="761">
        <f t="shared" si="2"/>
        <v>0</v>
      </c>
      <c r="H28" s="761"/>
      <c r="I28" s="761">
        <f t="shared" si="3"/>
        <v>0</v>
      </c>
      <c r="J28" s="761">
        <f t="shared" si="3"/>
        <v>0</v>
      </c>
      <c r="K28" s="761">
        <f t="shared" si="3"/>
        <v>0</v>
      </c>
      <c r="L28" s="761"/>
      <c r="M28" s="604"/>
      <c r="N28" s="604"/>
      <c r="O28" s="604"/>
      <c r="P28" s="761"/>
      <c r="Q28" s="604"/>
      <c r="R28" s="604"/>
      <c r="S28" s="604"/>
    </row>
    <row r="29" spans="1:19" hidden="1">
      <c r="A29" s="780">
        <f t="shared" si="4"/>
        <v>2.1299999999999972</v>
      </c>
      <c r="B29" s="604"/>
      <c r="C29" s="761">
        <f t="shared" si="0"/>
        <v>0</v>
      </c>
      <c r="D29" s="761">
        <f t="shared" si="1"/>
        <v>0</v>
      </c>
      <c r="E29" s="761"/>
      <c r="F29" s="761"/>
      <c r="G29" s="761">
        <f t="shared" si="2"/>
        <v>0</v>
      </c>
      <c r="H29" s="761"/>
      <c r="I29" s="761">
        <f t="shared" si="3"/>
        <v>0</v>
      </c>
      <c r="J29" s="761">
        <f t="shared" si="3"/>
        <v>0</v>
      </c>
      <c r="K29" s="761">
        <f t="shared" si="3"/>
        <v>0</v>
      </c>
      <c r="L29" s="761"/>
      <c r="M29" s="604"/>
      <c r="N29" s="604"/>
      <c r="O29" s="604"/>
      <c r="P29" s="761"/>
      <c r="Q29" s="604"/>
      <c r="R29" s="604"/>
      <c r="S29" s="604"/>
    </row>
    <row r="30" spans="1:19" hidden="1">
      <c r="A30" s="780">
        <f t="shared" si="4"/>
        <v>2.139999999999997</v>
      </c>
      <c r="B30" s="604"/>
      <c r="C30" s="761">
        <f t="shared" si="0"/>
        <v>0</v>
      </c>
      <c r="D30" s="761">
        <f t="shared" si="1"/>
        <v>0</v>
      </c>
      <c r="E30" s="761"/>
      <c r="F30" s="761"/>
      <c r="G30" s="761">
        <f t="shared" si="2"/>
        <v>0</v>
      </c>
      <c r="H30" s="761"/>
      <c r="I30" s="761">
        <f t="shared" si="3"/>
        <v>0</v>
      </c>
      <c r="J30" s="761">
        <f t="shared" si="3"/>
        <v>0</v>
      </c>
      <c r="K30" s="761">
        <f t="shared" si="3"/>
        <v>0</v>
      </c>
      <c r="L30" s="761"/>
      <c r="M30" s="604"/>
      <c r="N30" s="604"/>
      <c r="O30" s="604"/>
      <c r="P30" s="761"/>
      <c r="Q30" s="604"/>
      <c r="R30" s="604"/>
      <c r="S30" s="604"/>
    </row>
    <row r="31" spans="1:19" hidden="1">
      <c r="A31" s="780">
        <f t="shared" si="4"/>
        <v>2.1499999999999968</v>
      </c>
      <c r="B31" s="604"/>
      <c r="C31" s="761">
        <f t="shared" si="0"/>
        <v>0</v>
      </c>
      <c r="D31" s="761">
        <f t="shared" si="1"/>
        <v>0</v>
      </c>
      <c r="E31" s="761"/>
      <c r="F31" s="761"/>
      <c r="G31" s="761">
        <f t="shared" si="2"/>
        <v>0</v>
      </c>
      <c r="H31" s="761"/>
      <c r="I31" s="761">
        <f t="shared" si="3"/>
        <v>0</v>
      </c>
      <c r="J31" s="761">
        <f t="shared" si="3"/>
        <v>0</v>
      </c>
      <c r="K31" s="761">
        <f t="shared" si="3"/>
        <v>0</v>
      </c>
      <c r="L31" s="761"/>
      <c r="M31" s="604"/>
      <c r="N31" s="604"/>
      <c r="O31" s="604"/>
      <c r="P31" s="761"/>
      <c r="Q31" s="604"/>
      <c r="R31" s="604"/>
      <c r="S31" s="604"/>
    </row>
    <row r="32" spans="1:19" hidden="1">
      <c r="A32" s="780">
        <f t="shared" si="4"/>
        <v>2.1599999999999966</v>
      </c>
      <c r="B32" s="604"/>
      <c r="C32" s="761">
        <f t="shared" si="0"/>
        <v>0</v>
      </c>
      <c r="D32" s="761">
        <f t="shared" si="1"/>
        <v>0</v>
      </c>
      <c r="E32" s="761"/>
      <c r="F32" s="761"/>
      <c r="G32" s="761">
        <f t="shared" si="2"/>
        <v>0</v>
      </c>
      <c r="H32" s="761"/>
      <c r="I32" s="761">
        <f t="shared" si="3"/>
        <v>0</v>
      </c>
      <c r="J32" s="761">
        <f t="shared" si="3"/>
        <v>0</v>
      </c>
      <c r="K32" s="761">
        <f t="shared" si="3"/>
        <v>0</v>
      </c>
      <c r="L32" s="761"/>
      <c r="M32" s="604"/>
      <c r="N32" s="604"/>
      <c r="O32" s="604"/>
      <c r="P32" s="761"/>
      <c r="Q32" s="604"/>
      <c r="R32" s="604"/>
      <c r="S32" s="604"/>
    </row>
    <row r="33" spans="1:19" hidden="1">
      <c r="A33" s="780">
        <f t="shared" si="4"/>
        <v>2.1699999999999964</v>
      </c>
      <c r="B33" s="604"/>
      <c r="C33" s="761">
        <f t="shared" si="0"/>
        <v>0</v>
      </c>
      <c r="D33" s="761">
        <f t="shared" si="1"/>
        <v>0</v>
      </c>
      <c r="E33" s="761"/>
      <c r="F33" s="761"/>
      <c r="G33" s="761">
        <f t="shared" si="2"/>
        <v>0</v>
      </c>
      <c r="H33" s="761"/>
      <c r="I33" s="761">
        <f t="shared" si="3"/>
        <v>0</v>
      </c>
      <c r="J33" s="761">
        <f t="shared" si="3"/>
        <v>0</v>
      </c>
      <c r="K33" s="761">
        <f t="shared" si="3"/>
        <v>0</v>
      </c>
      <c r="L33" s="761"/>
      <c r="M33" s="604"/>
      <c r="N33" s="604"/>
      <c r="O33" s="604"/>
      <c r="P33" s="761"/>
      <c r="Q33" s="604"/>
      <c r="R33" s="604"/>
      <c r="S33" s="604"/>
    </row>
    <row r="34" spans="1:19" hidden="1">
      <c r="A34" s="780">
        <f t="shared" si="4"/>
        <v>2.1799999999999962</v>
      </c>
      <c r="B34" s="604"/>
      <c r="C34" s="761">
        <f t="shared" si="0"/>
        <v>0</v>
      </c>
      <c r="D34" s="761">
        <f t="shared" si="1"/>
        <v>0</v>
      </c>
      <c r="E34" s="761"/>
      <c r="F34" s="761"/>
      <c r="G34" s="761">
        <f t="shared" si="2"/>
        <v>0</v>
      </c>
      <c r="H34" s="761"/>
      <c r="I34" s="761">
        <f t="shared" si="3"/>
        <v>0</v>
      </c>
      <c r="J34" s="761">
        <f t="shared" si="3"/>
        <v>0</v>
      </c>
      <c r="K34" s="761">
        <f t="shared" si="3"/>
        <v>0</v>
      </c>
      <c r="L34" s="761"/>
      <c r="M34" s="604"/>
      <c r="N34" s="604"/>
      <c r="O34" s="604"/>
      <c r="P34" s="761"/>
      <c r="Q34" s="604"/>
      <c r="R34" s="604"/>
      <c r="S34" s="604"/>
    </row>
    <row r="35" spans="1:19" hidden="1">
      <c r="A35" s="780">
        <f t="shared" si="4"/>
        <v>2.1899999999999959</v>
      </c>
      <c r="B35" s="604"/>
      <c r="C35" s="761">
        <f t="shared" si="0"/>
        <v>0</v>
      </c>
      <c r="D35" s="761">
        <f t="shared" si="1"/>
        <v>0</v>
      </c>
      <c r="E35" s="761"/>
      <c r="F35" s="761"/>
      <c r="G35" s="761">
        <f t="shared" si="2"/>
        <v>0</v>
      </c>
      <c r="H35" s="761"/>
      <c r="I35" s="761">
        <f t="shared" si="3"/>
        <v>0</v>
      </c>
      <c r="J35" s="761">
        <f t="shared" si="3"/>
        <v>0</v>
      </c>
      <c r="K35" s="761">
        <f t="shared" si="3"/>
        <v>0</v>
      </c>
      <c r="L35" s="761"/>
      <c r="M35" s="604"/>
      <c r="N35" s="604"/>
      <c r="O35" s="604"/>
      <c r="P35" s="761"/>
      <c r="Q35" s="604"/>
      <c r="R35" s="604"/>
      <c r="S35" s="604"/>
    </row>
    <row r="36" spans="1:19" hidden="1">
      <c r="A36" s="780">
        <f t="shared" si="4"/>
        <v>2.1999999999999957</v>
      </c>
      <c r="B36" s="604"/>
      <c r="C36" s="761">
        <f t="shared" si="0"/>
        <v>0</v>
      </c>
      <c r="D36" s="761">
        <f t="shared" si="1"/>
        <v>0</v>
      </c>
      <c r="E36" s="761"/>
      <c r="F36" s="761"/>
      <c r="G36" s="761">
        <f t="shared" si="2"/>
        <v>0</v>
      </c>
      <c r="H36" s="761"/>
      <c r="I36" s="761">
        <f t="shared" si="3"/>
        <v>0</v>
      </c>
      <c r="J36" s="761">
        <f t="shared" si="3"/>
        <v>0</v>
      </c>
      <c r="K36" s="761">
        <f t="shared" si="3"/>
        <v>0</v>
      </c>
      <c r="L36" s="761"/>
      <c r="M36" s="604"/>
      <c r="N36" s="604"/>
      <c r="O36" s="604"/>
      <c r="P36" s="761"/>
      <c r="Q36" s="604"/>
      <c r="R36" s="604"/>
      <c r="S36" s="604"/>
    </row>
    <row r="37" spans="1:19" hidden="1">
      <c r="A37" s="780">
        <f t="shared" si="4"/>
        <v>2.2099999999999955</v>
      </c>
      <c r="B37" s="604"/>
      <c r="C37" s="761">
        <f t="shared" si="0"/>
        <v>0</v>
      </c>
      <c r="D37" s="761">
        <f t="shared" si="1"/>
        <v>0</v>
      </c>
      <c r="E37" s="761"/>
      <c r="F37" s="761"/>
      <c r="G37" s="761">
        <f t="shared" si="2"/>
        <v>0</v>
      </c>
      <c r="H37" s="761"/>
      <c r="I37" s="761">
        <f t="shared" si="3"/>
        <v>0</v>
      </c>
      <c r="J37" s="761">
        <f t="shared" si="3"/>
        <v>0</v>
      </c>
      <c r="K37" s="761">
        <f t="shared" si="3"/>
        <v>0</v>
      </c>
      <c r="L37" s="761"/>
      <c r="M37" s="604"/>
      <c r="N37" s="604"/>
      <c r="O37" s="604"/>
      <c r="P37" s="761"/>
      <c r="Q37" s="604"/>
      <c r="R37" s="604"/>
      <c r="S37" s="604"/>
    </row>
    <row r="38" spans="1:19" hidden="1">
      <c r="A38" s="780">
        <f t="shared" si="4"/>
        <v>2.2199999999999953</v>
      </c>
      <c r="B38" s="604"/>
      <c r="C38" s="761">
        <f t="shared" si="0"/>
        <v>0</v>
      </c>
      <c r="D38" s="761">
        <f t="shared" si="1"/>
        <v>0</v>
      </c>
      <c r="E38" s="761"/>
      <c r="F38" s="761"/>
      <c r="G38" s="761">
        <f t="shared" si="2"/>
        <v>0</v>
      </c>
      <c r="H38" s="761"/>
      <c r="I38" s="761">
        <f t="shared" si="3"/>
        <v>0</v>
      </c>
      <c r="J38" s="761">
        <f t="shared" si="3"/>
        <v>0</v>
      </c>
      <c r="K38" s="761">
        <f t="shared" si="3"/>
        <v>0</v>
      </c>
      <c r="L38" s="761"/>
      <c r="M38" s="604"/>
      <c r="N38" s="604"/>
      <c r="O38" s="604"/>
      <c r="P38" s="761"/>
      <c r="Q38" s="604"/>
      <c r="R38" s="604"/>
      <c r="S38" s="604"/>
    </row>
    <row r="39" spans="1:19" hidden="1">
      <c r="A39" s="780">
        <f t="shared" si="4"/>
        <v>2.2299999999999951</v>
      </c>
      <c r="B39" s="604"/>
      <c r="C39" s="761">
        <f t="shared" si="0"/>
        <v>0</v>
      </c>
      <c r="D39" s="761">
        <f t="shared" si="1"/>
        <v>0</v>
      </c>
      <c r="E39" s="761"/>
      <c r="F39" s="761"/>
      <c r="G39" s="761">
        <f t="shared" si="2"/>
        <v>0</v>
      </c>
      <c r="H39" s="761"/>
      <c r="I39" s="761">
        <f t="shared" si="3"/>
        <v>0</v>
      </c>
      <c r="J39" s="761">
        <f t="shared" si="3"/>
        <v>0</v>
      </c>
      <c r="K39" s="761">
        <f t="shared" si="3"/>
        <v>0</v>
      </c>
      <c r="L39" s="761"/>
      <c r="M39" s="604"/>
      <c r="N39" s="604"/>
      <c r="O39" s="604"/>
      <c r="P39" s="761"/>
      <c r="Q39" s="604"/>
      <c r="R39" s="604"/>
      <c r="S39" s="604"/>
    </row>
    <row r="40" spans="1:19" hidden="1">
      <c r="A40" s="780">
        <f t="shared" si="4"/>
        <v>2.2399999999999949</v>
      </c>
      <c r="B40" s="604"/>
      <c r="C40" s="761">
        <f t="shared" si="0"/>
        <v>0</v>
      </c>
      <c r="D40" s="761">
        <f t="shared" si="1"/>
        <v>0</v>
      </c>
      <c r="E40" s="761"/>
      <c r="F40" s="761"/>
      <c r="G40" s="761">
        <f t="shared" si="2"/>
        <v>0</v>
      </c>
      <c r="H40" s="761"/>
      <c r="I40" s="761">
        <f t="shared" si="3"/>
        <v>0</v>
      </c>
      <c r="J40" s="761">
        <f t="shared" si="3"/>
        <v>0</v>
      </c>
      <c r="K40" s="761">
        <f t="shared" si="3"/>
        <v>0</v>
      </c>
      <c r="L40" s="761"/>
      <c r="M40" s="604"/>
      <c r="N40" s="604"/>
      <c r="O40" s="604"/>
      <c r="P40" s="761"/>
      <c r="Q40" s="604"/>
      <c r="R40" s="604"/>
      <c r="S40" s="604"/>
    </row>
    <row r="41" spans="1:19" hidden="1">
      <c r="A41" s="780">
        <f t="shared" si="4"/>
        <v>2.2499999999999947</v>
      </c>
      <c r="B41" s="604"/>
      <c r="C41" s="761">
        <f t="shared" si="0"/>
        <v>0</v>
      </c>
      <c r="D41" s="761">
        <f t="shared" si="1"/>
        <v>0</v>
      </c>
      <c r="E41" s="761"/>
      <c r="F41" s="761"/>
      <c r="G41" s="761">
        <f t="shared" si="2"/>
        <v>0</v>
      </c>
      <c r="H41" s="761"/>
      <c r="I41" s="761">
        <f t="shared" si="3"/>
        <v>0</v>
      </c>
      <c r="J41" s="761">
        <f t="shared" si="3"/>
        <v>0</v>
      </c>
      <c r="K41" s="761">
        <f t="shared" si="3"/>
        <v>0</v>
      </c>
      <c r="L41" s="761"/>
      <c r="M41" s="604"/>
      <c r="N41" s="604"/>
      <c r="O41" s="604"/>
      <c r="P41" s="761"/>
      <c r="Q41" s="604"/>
      <c r="R41" s="604"/>
      <c r="S41" s="604"/>
    </row>
    <row r="42" spans="1:19" hidden="1">
      <c r="A42" s="780">
        <f t="shared" si="4"/>
        <v>2.2599999999999945</v>
      </c>
      <c r="B42" s="604"/>
      <c r="C42" s="761">
        <f t="shared" si="0"/>
        <v>0</v>
      </c>
      <c r="D42" s="761">
        <f t="shared" si="1"/>
        <v>0</v>
      </c>
      <c r="E42" s="761"/>
      <c r="F42" s="761"/>
      <c r="G42" s="761">
        <f t="shared" si="2"/>
        <v>0</v>
      </c>
      <c r="H42" s="761"/>
      <c r="I42" s="761">
        <f t="shared" si="3"/>
        <v>0</v>
      </c>
      <c r="J42" s="761">
        <f t="shared" si="3"/>
        <v>0</v>
      </c>
      <c r="K42" s="761">
        <f t="shared" si="3"/>
        <v>0</v>
      </c>
      <c r="L42" s="761"/>
      <c r="M42" s="604"/>
      <c r="N42" s="604"/>
      <c r="O42" s="604"/>
      <c r="P42" s="761"/>
      <c r="Q42" s="604"/>
      <c r="R42" s="604"/>
      <c r="S42" s="604"/>
    </row>
    <row r="43" spans="1:19" hidden="1">
      <c r="A43" s="780">
        <f t="shared" si="4"/>
        <v>2.2699999999999942</v>
      </c>
      <c r="B43" s="604"/>
      <c r="C43" s="761">
        <f t="shared" si="0"/>
        <v>0</v>
      </c>
      <c r="D43" s="761">
        <f t="shared" si="1"/>
        <v>0</v>
      </c>
      <c r="E43" s="761"/>
      <c r="F43" s="761"/>
      <c r="G43" s="761">
        <f t="shared" si="2"/>
        <v>0</v>
      </c>
      <c r="H43" s="761"/>
      <c r="I43" s="761">
        <f t="shared" si="3"/>
        <v>0</v>
      </c>
      <c r="J43" s="761">
        <f t="shared" si="3"/>
        <v>0</v>
      </c>
      <c r="K43" s="761">
        <f t="shared" si="3"/>
        <v>0</v>
      </c>
      <c r="L43" s="761"/>
      <c r="M43" s="604"/>
      <c r="N43" s="604"/>
      <c r="O43" s="604"/>
      <c r="P43" s="761"/>
      <c r="Q43" s="604"/>
      <c r="R43" s="604"/>
      <c r="S43" s="604"/>
    </row>
    <row r="44" spans="1:19" hidden="1">
      <c r="A44" s="780">
        <f t="shared" si="4"/>
        <v>2.279999999999994</v>
      </c>
      <c r="B44" s="604"/>
      <c r="C44" s="761">
        <f t="shared" si="0"/>
        <v>0</v>
      </c>
      <c r="D44" s="761">
        <f t="shared" si="1"/>
        <v>0</v>
      </c>
      <c r="E44" s="761"/>
      <c r="F44" s="761"/>
      <c r="G44" s="761">
        <f t="shared" si="2"/>
        <v>0</v>
      </c>
      <c r="H44" s="761"/>
      <c r="I44" s="761">
        <f t="shared" si="3"/>
        <v>0</v>
      </c>
      <c r="J44" s="761">
        <f t="shared" si="3"/>
        <v>0</v>
      </c>
      <c r="K44" s="761">
        <f t="shared" si="3"/>
        <v>0</v>
      </c>
      <c r="L44" s="761"/>
      <c r="M44" s="604"/>
      <c r="N44" s="604"/>
      <c r="O44" s="604"/>
      <c r="P44" s="761"/>
      <c r="Q44" s="604"/>
      <c r="R44" s="604"/>
      <c r="S44" s="604"/>
    </row>
    <row r="45" spans="1:19" hidden="1">
      <c r="A45" s="780">
        <f t="shared" si="4"/>
        <v>2.2899999999999938</v>
      </c>
      <c r="B45" s="604"/>
      <c r="C45" s="761">
        <f t="shared" si="0"/>
        <v>0</v>
      </c>
      <c r="D45" s="761">
        <f t="shared" si="1"/>
        <v>0</v>
      </c>
      <c r="E45" s="761"/>
      <c r="F45" s="761"/>
      <c r="G45" s="761">
        <f t="shared" si="2"/>
        <v>0</v>
      </c>
      <c r="H45" s="761"/>
      <c r="I45" s="761">
        <f t="shared" si="3"/>
        <v>0</v>
      </c>
      <c r="J45" s="761">
        <f t="shared" si="3"/>
        <v>0</v>
      </c>
      <c r="K45" s="761">
        <f t="shared" si="3"/>
        <v>0</v>
      </c>
      <c r="L45" s="761"/>
      <c r="M45" s="604"/>
      <c r="N45" s="604"/>
      <c r="O45" s="604"/>
      <c r="P45" s="761"/>
      <c r="Q45" s="604"/>
      <c r="R45" s="604"/>
      <c r="S45" s="604"/>
    </row>
    <row r="46" spans="1:19" hidden="1">
      <c r="A46" s="780">
        <f t="shared" si="4"/>
        <v>2.2999999999999936</v>
      </c>
      <c r="B46" s="604"/>
      <c r="C46" s="761">
        <f t="shared" si="0"/>
        <v>0</v>
      </c>
      <c r="D46" s="761">
        <f t="shared" si="1"/>
        <v>0</v>
      </c>
      <c r="E46" s="761"/>
      <c r="F46" s="761"/>
      <c r="G46" s="761">
        <f t="shared" si="2"/>
        <v>0</v>
      </c>
      <c r="H46" s="761"/>
      <c r="I46" s="761">
        <f t="shared" si="3"/>
        <v>0</v>
      </c>
      <c r="J46" s="761">
        <f t="shared" si="3"/>
        <v>0</v>
      </c>
      <c r="K46" s="761">
        <f t="shared" si="3"/>
        <v>0</v>
      </c>
      <c r="L46" s="761"/>
      <c r="M46" s="604"/>
      <c r="N46" s="604"/>
      <c r="O46" s="604"/>
      <c r="P46" s="761"/>
      <c r="Q46" s="604"/>
      <c r="R46" s="604"/>
      <c r="S46" s="604"/>
    </row>
    <row r="47" spans="1:19" hidden="1">
      <c r="A47" s="780">
        <f t="shared" si="4"/>
        <v>2.3099999999999934</v>
      </c>
      <c r="B47" s="604"/>
      <c r="C47" s="761">
        <f t="shared" si="0"/>
        <v>0</v>
      </c>
      <c r="D47" s="761">
        <f t="shared" si="1"/>
        <v>0</v>
      </c>
      <c r="E47" s="761"/>
      <c r="F47" s="761"/>
      <c r="G47" s="761">
        <f t="shared" si="2"/>
        <v>0</v>
      </c>
      <c r="H47" s="761"/>
      <c r="I47" s="761">
        <f t="shared" si="3"/>
        <v>0</v>
      </c>
      <c r="J47" s="761">
        <f t="shared" si="3"/>
        <v>0</v>
      </c>
      <c r="K47" s="761">
        <f t="shared" si="3"/>
        <v>0</v>
      </c>
      <c r="L47" s="761"/>
      <c r="M47" s="604"/>
      <c r="N47" s="604"/>
      <c r="O47" s="604"/>
      <c r="P47" s="761"/>
      <c r="Q47" s="604"/>
      <c r="R47" s="604"/>
      <c r="S47" s="604"/>
    </row>
    <row r="48" spans="1:19" hidden="1">
      <c r="A48" s="780">
        <f t="shared" si="4"/>
        <v>2.3199999999999932</v>
      </c>
      <c r="B48" s="604"/>
      <c r="C48" s="761">
        <f t="shared" si="0"/>
        <v>0</v>
      </c>
      <c r="D48" s="761">
        <f t="shared" si="1"/>
        <v>0</v>
      </c>
      <c r="E48" s="761"/>
      <c r="F48" s="761"/>
      <c r="G48" s="761">
        <f t="shared" si="2"/>
        <v>0</v>
      </c>
      <c r="H48" s="761"/>
      <c r="I48" s="761">
        <f t="shared" si="3"/>
        <v>0</v>
      </c>
      <c r="J48" s="761">
        <f t="shared" si="3"/>
        <v>0</v>
      </c>
      <c r="K48" s="761">
        <f t="shared" si="3"/>
        <v>0</v>
      </c>
      <c r="L48" s="761"/>
      <c r="M48" s="604"/>
      <c r="N48" s="604"/>
      <c r="O48" s="604"/>
      <c r="P48" s="761"/>
      <c r="Q48" s="604"/>
      <c r="R48" s="604"/>
      <c r="S48" s="604"/>
    </row>
    <row r="49" spans="1:19" hidden="1">
      <c r="A49" s="780">
        <f t="shared" si="4"/>
        <v>2.329999999999993</v>
      </c>
      <c r="B49" s="604"/>
      <c r="C49" s="761">
        <f t="shared" si="0"/>
        <v>0</v>
      </c>
      <c r="D49" s="761">
        <f t="shared" si="1"/>
        <v>0</v>
      </c>
      <c r="E49" s="761"/>
      <c r="F49" s="761"/>
      <c r="G49" s="761">
        <f t="shared" si="2"/>
        <v>0</v>
      </c>
      <c r="H49" s="761"/>
      <c r="I49" s="761">
        <f t="shared" ref="I49:K80" si="5">(M49+Q49)/2</f>
        <v>0</v>
      </c>
      <c r="J49" s="761">
        <f t="shared" si="5"/>
        <v>0</v>
      </c>
      <c r="K49" s="761">
        <f t="shared" si="5"/>
        <v>0</v>
      </c>
      <c r="L49" s="761"/>
      <c r="M49" s="604"/>
      <c r="N49" s="604"/>
      <c r="O49" s="604"/>
      <c r="P49" s="761"/>
      <c r="Q49" s="604"/>
      <c r="R49" s="604"/>
      <c r="S49" s="604"/>
    </row>
    <row r="50" spans="1:19" hidden="1">
      <c r="A50" s="780">
        <f t="shared" si="4"/>
        <v>2.3399999999999928</v>
      </c>
      <c r="B50" s="604"/>
      <c r="C50" s="761">
        <f t="shared" si="0"/>
        <v>0</v>
      </c>
      <c r="D50" s="761">
        <f t="shared" si="1"/>
        <v>0</v>
      </c>
      <c r="E50" s="761"/>
      <c r="F50" s="761"/>
      <c r="G50" s="761">
        <f t="shared" si="2"/>
        <v>0</v>
      </c>
      <c r="H50" s="761"/>
      <c r="I50" s="761">
        <f t="shared" si="5"/>
        <v>0</v>
      </c>
      <c r="J50" s="761">
        <f t="shared" si="5"/>
        <v>0</v>
      </c>
      <c r="K50" s="761">
        <f t="shared" si="5"/>
        <v>0</v>
      </c>
      <c r="L50" s="761"/>
      <c r="M50" s="604"/>
      <c r="N50" s="604"/>
      <c r="O50" s="604"/>
      <c r="P50" s="761"/>
      <c r="Q50" s="604"/>
      <c r="R50" s="604"/>
      <c r="S50" s="604"/>
    </row>
    <row r="51" spans="1:19" hidden="1">
      <c r="A51" s="780">
        <f t="shared" si="4"/>
        <v>2.3499999999999925</v>
      </c>
      <c r="B51" s="604"/>
      <c r="C51" s="761">
        <f t="shared" si="0"/>
        <v>0</v>
      </c>
      <c r="D51" s="761">
        <f t="shared" si="1"/>
        <v>0</v>
      </c>
      <c r="E51" s="761"/>
      <c r="F51" s="761"/>
      <c r="G51" s="761">
        <f t="shared" si="2"/>
        <v>0</v>
      </c>
      <c r="H51" s="761"/>
      <c r="I51" s="761">
        <f t="shared" si="5"/>
        <v>0</v>
      </c>
      <c r="J51" s="761">
        <f t="shared" si="5"/>
        <v>0</v>
      </c>
      <c r="K51" s="761">
        <f t="shared" si="5"/>
        <v>0</v>
      </c>
      <c r="L51" s="761"/>
      <c r="M51" s="604"/>
      <c r="N51" s="604"/>
      <c r="O51" s="604"/>
      <c r="P51" s="761"/>
      <c r="Q51" s="604"/>
      <c r="R51" s="604"/>
      <c r="S51" s="604"/>
    </row>
    <row r="52" spans="1:19" hidden="1">
      <c r="A52" s="780">
        <f t="shared" si="4"/>
        <v>2.3599999999999923</v>
      </c>
      <c r="B52" s="604"/>
      <c r="C52" s="761">
        <f t="shared" si="0"/>
        <v>0</v>
      </c>
      <c r="D52" s="761">
        <f t="shared" si="1"/>
        <v>0</v>
      </c>
      <c r="E52" s="761"/>
      <c r="F52" s="761"/>
      <c r="G52" s="761">
        <f t="shared" si="2"/>
        <v>0</v>
      </c>
      <c r="H52" s="761"/>
      <c r="I52" s="761">
        <f t="shared" si="5"/>
        <v>0</v>
      </c>
      <c r="J52" s="761">
        <f t="shared" si="5"/>
        <v>0</v>
      </c>
      <c r="K52" s="761">
        <f t="shared" si="5"/>
        <v>0</v>
      </c>
      <c r="L52" s="761"/>
      <c r="M52" s="604"/>
      <c r="N52" s="604"/>
      <c r="O52" s="604"/>
      <c r="P52" s="761"/>
      <c r="Q52" s="604"/>
      <c r="R52" s="604"/>
      <c r="S52" s="604"/>
    </row>
    <row r="53" spans="1:19" hidden="1">
      <c r="A53" s="780">
        <f t="shared" si="4"/>
        <v>2.3699999999999921</v>
      </c>
      <c r="B53" s="604"/>
      <c r="C53" s="761">
        <f t="shared" si="0"/>
        <v>0</v>
      </c>
      <c r="D53" s="761">
        <f t="shared" si="1"/>
        <v>0</v>
      </c>
      <c r="E53" s="761"/>
      <c r="F53" s="761"/>
      <c r="G53" s="761">
        <f t="shared" si="2"/>
        <v>0</v>
      </c>
      <c r="H53" s="761"/>
      <c r="I53" s="761">
        <f t="shared" si="5"/>
        <v>0</v>
      </c>
      <c r="J53" s="761">
        <f t="shared" si="5"/>
        <v>0</v>
      </c>
      <c r="K53" s="761">
        <f t="shared" si="5"/>
        <v>0</v>
      </c>
      <c r="L53" s="761"/>
      <c r="M53" s="604"/>
      <c r="N53" s="604"/>
      <c r="O53" s="604"/>
      <c r="P53" s="761"/>
      <c r="Q53" s="604"/>
      <c r="R53" s="604"/>
      <c r="S53" s="604"/>
    </row>
    <row r="54" spans="1:19" hidden="1">
      <c r="A54" s="780">
        <f t="shared" si="4"/>
        <v>2.3799999999999919</v>
      </c>
      <c r="B54" s="604"/>
      <c r="C54" s="761">
        <f t="shared" si="0"/>
        <v>0</v>
      </c>
      <c r="D54" s="761">
        <f t="shared" si="1"/>
        <v>0</v>
      </c>
      <c r="E54" s="761"/>
      <c r="F54" s="761"/>
      <c r="G54" s="761">
        <f t="shared" si="2"/>
        <v>0</v>
      </c>
      <c r="H54" s="761"/>
      <c r="I54" s="761">
        <f t="shared" si="5"/>
        <v>0</v>
      </c>
      <c r="J54" s="761">
        <f t="shared" si="5"/>
        <v>0</v>
      </c>
      <c r="K54" s="761">
        <f t="shared" si="5"/>
        <v>0</v>
      </c>
      <c r="L54" s="761"/>
      <c r="M54" s="604"/>
      <c r="N54" s="604"/>
      <c r="O54" s="604"/>
      <c r="P54" s="761"/>
      <c r="Q54" s="604"/>
      <c r="R54" s="604"/>
      <c r="S54" s="604"/>
    </row>
    <row r="55" spans="1:19" hidden="1">
      <c r="A55" s="780">
        <f t="shared" si="4"/>
        <v>2.3899999999999917</v>
      </c>
      <c r="B55" s="604"/>
      <c r="C55" s="761">
        <f t="shared" si="0"/>
        <v>0</v>
      </c>
      <c r="D55" s="761">
        <f t="shared" si="1"/>
        <v>0</v>
      </c>
      <c r="E55" s="761"/>
      <c r="F55" s="761"/>
      <c r="G55" s="761">
        <f t="shared" si="2"/>
        <v>0</v>
      </c>
      <c r="H55" s="761"/>
      <c r="I55" s="761">
        <f t="shared" si="5"/>
        <v>0</v>
      </c>
      <c r="J55" s="761">
        <f t="shared" si="5"/>
        <v>0</v>
      </c>
      <c r="K55" s="761">
        <f t="shared" si="5"/>
        <v>0</v>
      </c>
      <c r="L55" s="761"/>
      <c r="M55" s="604"/>
      <c r="N55" s="604"/>
      <c r="O55" s="604"/>
      <c r="P55" s="761"/>
      <c r="Q55" s="604"/>
      <c r="R55" s="604"/>
      <c r="S55" s="604"/>
    </row>
    <row r="56" spans="1:19" hidden="1">
      <c r="A56" s="780">
        <f t="shared" si="4"/>
        <v>2.3999999999999915</v>
      </c>
      <c r="B56" s="604"/>
      <c r="C56" s="761">
        <f t="shared" si="0"/>
        <v>0</v>
      </c>
      <c r="D56" s="761">
        <f t="shared" si="1"/>
        <v>0</v>
      </c>
      <c r="E56" s="761"/>
      <c r="F56" s="761"/>
      <c r="G56" s="761">
        <f t="shared" si="2"/>
        <v>0</v>
      </c>
      <c r="H56" s="761"/>
      <c r="I56" s="761">
        <f t="shared" si="5"/>
        <v>0</v>
      </c>
      <c r="J56" s="761">
        <f t="shared" si="5"/>
        <v>0</v>
      </c>
      <c r="K56" s="761">
        <f t="shared" si="5"/>
        <v>0</v>
      </c>
      <c r="L56" s="761"/>
      <c r="M56" s="604"/>
      <c r="N56" s="604"/>
      <c r="O56" s="604"/>
      <c r="P56" s="761"/>
      <c r="Q56" s="604"/>
      <c r="R56" s="604"/>
      <c r="S56" s="604"/>
    </row>
    <row r="57" spans="1:19" hidden="1">
      <c r="A57" s="780">
        <f t="shared" si="4"/>
        <v>2.4099999999999913</v>
      </c>
      <c r="B57" s="604"/>
      <c r="C57" s="761">
        <f t="shared" si="0"/>
        <v>0</v>
      </c>
      <c r="D57" s="761">
        <f t="shared" si="1"/>
        <v>0</v>
      </c>
      <c r="E57" s="761"/>
      <c r="F57" s="761"/>
      <c r="G57" s="761">
        <f t="shared" si="2"/>
        <v>0</v>
      </c>
      <c r="H57" s="761"/>
      <c r="I57" s="761">
        <f t="shared" si="5"/>
        <v>0</v>
      </c>
      <c r="J57" s="761">
        <f t="shared" si="5"/>
        <v>0</v>
      </c>
      <c r="K57" s="761">
        <f t="shared" si="5"/>
        <v>0</v>
      </c>
      <c r="L57" s="761"/>
      <c r="M57" s="604"/>
      <c r="N57" s="604"/>
      <c r="O57" s="604"/>
      <c r="P57" s="761"/>
      <c r="Q57" s="604"/>
      <c r="R57" s="604"/>
      <c r="S57" s="604"/>
    </row>
    <row r="58" spans="1:19" hidden="1">
      <c r="A58" s="780">
        <f t="shared" si="4"/>
        <v>2.419999999999991</v>
      </c>
      <c r="B58" s="604"/>
      <c r="C58" s="761">
        <f t="shared" si="0"/>
        <v>0</v>
      </c>
      <c r="D58" s="761">
        <f t="shared" si="1"/>
        <v>0</v>
      </c>
      <c r="E58" s="761"/>
      <c r="F58" s="761"/>
      <c r="G58" s="761">
        <f t="shared" si="2"/>
        <v>0</v>
      </c>
      <c r="H58" s="761"/>
      <c r="I58" s="761">
        <f t="shared" si="5"/>
        <v>0</v>
      </c>
      <c r="J58" s="761">
        <f t="shared" si="5"/>
        <v>0</v>
      </c>
      <c r="K58" s="761">
        <f t="shared" si="5"/>
        <v>0</v>
      </c>
      <c r="L58" s="761"/>
      <c r="M58" s="604"/>
      <c r="N58" s="604"/>
      <c r="O58" s="604"/>
      <c r="P58" s="761"/>
      <c r="Q58" s="604"/>
      <c r="R58" s="604"/>
      <c r="S58" s="604"/>
    </row>
    <row r="59" spans="1:19" hidden="1">
      <c r="A59" s="780">
        <f t="shared" si="4"/>
        <v>2.4299999999999908</v>
      </c>
      <c r="B59" s="604"/>
      <c r="C59" s="761">
        <f t="shared" si="0"/>
        <v>0</v>
      </c>
      <c r="D59" s="761">
        <f t="shared" si="1"/>
        <v>0</v>
      </c>
      <c r="E59" s="761"/>
      <c r="F59" s="761"/>
      <c r="G59" s="761">
        <f t="shared" si="2"/>
        <v>0</v>
      </c>
      <c r="H59" s="761"/>
      <c r="I59" s="761">
        <f t="shared" si="5"/>
        <v>0</v>
      </c>
      <c r="J59" s="761">
        <f t="shared" si="5"/>
        <v>0</v>
      </c>
      <c r="K59" s="761">
        <f t="shared" si="5"/>
        <v>0</v>
      </c>
      <c r="L59" s="761"/>
      <c r="M59" s="604"/>
      <c r="N59" s="604"/>
      <c r="O59" s="604"/>
      <c r="P59" s="761"/>
      <c r="Q59" s="604"/>
      <c r="R59" s="604"/>
      <c r="S59" s="604"/>
    </row>
    <row r="60" spans="1:19" hidden="1">
      <c r="A60" s="780">
        <f t="shared" si="4"/>
        <v>2.4399999999999906</v>
      </c>
      <c r="B60" s="604"/>
      <c r="C60" s="761">
        <f t="shared" si="0"/>
        <v>0</v>
      </c>
      <c r="D60" s="761">
        <f t="shared" si="1"/>
        <v>0</v>
      </c>
      <c r="E60" s="761"/>
      <c r="F60" s="761"/>
      <c r="G60" s="761">
        <f t="shared" si="2"/>
        <v>0</v>
      </c>
      <c r="H60" s="761"/>
      <c r="I60" s="761">
        <f t="shared" si="5"/>
        <v>0</v>
      </c>
      <c r="J60" s="761">
        <f t="shared" si="5"/>
        <v>0</v>
      </c>
      <c r="K60" s="761">
        <f t="shared" si="5"/>
        <v>0</v>
      </c>
      <c r="L60" s="761"/>
      <c r="M60" s="604"/>
      <c r="N60" s="604"/>
      <c r="O60" s="604"/>
      <c r="P60" s="761"/>
      <c r="Q60" s="604"/>
      <c r="R60" s="604"/>
      <c r="S60" s="604"/>
    </row>
    <row r="61" spans="1:19" hidden="1">
      <c r="A61" s="780">
        <f t="shared" si="4"/>
        <v>2.4499999999999904</v>
      </c>
      <c r="B61" s="604"/>
      <c r="C61" s="761">
        <f t="shared" si="0"/>
        <v>0</v>
      </c>
      <c r="D61" s="761">
        <f t="shared" si="1"/>
        <v>0</v>
      </c>
      <c r="E61" s="761"/>
      <c r="F61" s="761"/>
      <c r="G61" s="761">
        <f t="shared" si="2"/>
        <v>0</v>
      </c>
      <c r="H61" s="761"/>
      <c r="I61" s="761">
        <f t="shared" si="5"/>
        <v>0</v>
      </c>
      <c r="J61" s="761">
        <f t="shared" si="5"/>
        <v>0</v>
      </c>
      <c r="K61" s="761">
        <f t="shared" si="5"/>
        <v>0</v>
      </c>
      <c r="L61" s="761"/>
      <c r="M61" s="604"/>
      <c r="N61" s="604"/>
      <c r="O61" s="604"/>
      <c r="P61" s="761"/>
      <c r="Q61" s="604"/>
      <c r="R61" s="604"/>
      <c r="S61" s="604"/>
    </row>
    <row r="62" spans="1:19" hidden="1">
      <c r="A62" s="780">
        <f t="shared" si="4"/>
        <v>2.4599999999999902</v>
      </c>
      <c r="B62" s="604"/>
      <c r="C62" s="761">
        <f t="shared" si="0"/>
        <v>0</v>
      </c>
      <c r="D62" s="761">
        <f t="shared" si="1"/>
        <v>0</v>
      </c>
      <c r="E62" s="761"/>
      <c r="F62" s="761"/>
      <c r="G62" s="761">
        <f t="shared" si="2"/>
        <v>0</v>
      </c>
      <c r="H62" s="761"/>
      <c r="I62" s="761">
        <f t="shared" si="5"/>
        <v>0</v>
      </c>
      <c r="J62" s="761">
        <f t="shared" si="5"/>
        <v>0</v>
      </c>
      <c r="K62" s="761">
        <f t="shared" si="5"/>
        <v>0</v>
      </c>
      <c r="L62" s="761"/>
      <c r="M62" s="604"/>
      <c r="N62" s="604"/>
      <c r="O62" s="604"/>
      <c r="P62" s="761"/>
      <c r="Q62" s="604"/>
      <c r="R62" s="604"/>
      <c r="S62" s="604"/>
    </row>
    <row r="63" spans="1:19" hidden="1">
      <c r="A63" s="780">
        <f t="shared" si="4"/>
        <v>2.46999999999999</v>
      </c>
      <c r="B63" s="604"/>
      <c r="C63" s="761">
        <f t="shared" si="0"/>
        <v>0</v>
      </c>
      <c r="D63" s="761">
        <f t="shared" si="1"/>
        <v>0</v>
      </c>
      <c r="E63" s="761"/>
      <c r="F63" s="761"/>
      <c r="G63" s="761">
        <f t="shared" si="2"/>
        <v>0</v>
      </c>
      <c r="H63" s="761"/>
      <c r="I63" s="761">
        <f t="shared" si="5"/>
        <v>0</v>
      </c>
      <c r="J63" s="761">
        <f t="shared" si="5"/>
        <v>0</v>
      </c>
      <c r="K63" s="761">
        <f t="shared" si="5"/>
        <v>0</v>
      </c>
      <c r="L63" s="761"/>
      <c r="M63" s="604"/>
      <c r="N63" s="604"/>
      <c r="O63" s="604"/>
      <c r="P63" s="761"/>
      <c r="Q63" s="604"/>
      <c r="R63" s="604"/>
      <c r="S63" s="604"/>
    </row>
    <row r="64" spans="1:19" hidden="1">
      <c r="A64" s="780">
        <f t="shared" si="4"/>
        <v>2.4799999999999898</v>
      </c>
      <c r="B64" s="604"/>
      <c r="C64" s="761">
        <f t="shared" si="0"/>
        <v>0</v>
      </c>
      <c r="D64" s="761">
        <f t="shared" si="1"/>
        <v>0</v>
      </c>
      <c r="E64" s="761"/>
      <c r="F64" s="761"/>
      <c r="G64" s="761">
        <f t="shared" si="2"/>
        <v>0</v>
      </c>
      <c r="H64" s="761"/>
      <c r="I64" s="761">
        <f t="shared" si="5"/>
        <v>0</v>
      </c>
      <c r="J64" s="761">
        <f t="shared" si="5"/>
        <v>0</v>
      </c>
      <c r="K64" s="761">
        <f t="shared" si="5"/>
        <v>0</v>
      </c>
      <c r="L64" s="761"/>
      <c r="M64" s="604"/>
      <c r="N64" s="604"/>
      <c r="O64" s="604"/>
      <c r="P64" s="761"/>
      <c r="Q64" s="604"/>
      <c r="R64" s="604"/>
      <c r="S64" s="604"/>
    </row>
    <row r="65" spans="1:19" hidden="1">
      <c r="A65" s="780">
        <f t="shared" si="4"/>
        <v>2.4899999999999896</v>
      </c>
      <c r="B65" s="604"/>
      <c r="C65" s="761">
        <f t="shared" si="0"/>
        <v>0</v>
      </c>
      <c r="D65" s="761">
        <f t="shared" si="1"/>
        <v>0</v>
      </c>
      <c r="E65" s="761"/>
      <c r="F65" s="761"/>
      <c r="G65" s="761">
        <f t="shared" si="2"/>
        <v>0</v>
      </c>
      <c r="H65" s="761"/>
      <c r="I65" s="761">
        <f t="shared" si="5"/>
        <v>0</v>
      </c>
      <c r="J65" s="761">
        <f t="shared" si="5"/>
        <v>0</v>
      </c>
      <c r="K65" s="761">
        <f t="shared" si="5"/>
        <v>0</v>
      </c>
      <c r="L65" s="761"/>
      <c r="M65" s="604"/>
      <c r="N65" s="604"/>
      <c r="O65" s="604"/>
      <c r="P65" s="761"/>
      <c r="Q65" s="604"/>
      <c r="R65" s="604"/>
      <c r="S65" s="604"/>
    </row>
    <row r="66" spans="1:19" hidden="1">
      <c r="A66" s="780">
        <f t="shared" si="4"/>
        <v>2.4999999999999893</v>
      </c>
      <c r="B66" s="604"/>
      <c r="C66" s="761">
        <f t="shared" si="0"/>
        <v>0</v>
      </c>
      <c r="D66" s="761">
        <f t="shared" si="1"/>
        <v>0</v>
      </c>
      <c r="E66" s="761"/>
      <c r="F66" s="761"/>
      <c r="G66" s="761">
        <f t="shared" si="2"/>
        <v>0</v>
      </c>
      <c r="H66" s="761"/>
      <c r="I66" s="761">
        <f t="shared" si="5"/>
        <v>0</v>
      </c>
      <c r="J66" s="761">
        <f t="shared" si="5"/>
        <v>0</v>
      </c>
      <c r="K66" s="761">
        <f t="shared" si="5"/>
        <v>0</v>
      </c>
      <c r="L66" s="761"/>
      <c r="M66" s="604"/>
      <c r="N66" s="604"/>
      <c r="O66" s="604"/>
      <c r="P66" s="761"/>
      <c r="Q66" s="604"/>
      <c r="R66" s="604"/>
      <c r="S66" s="604"/>
    </row>
    <row r="67" spans="1:19" hidden="1">
      <c r="A67" s="780">
        <f t="shared" si="4"/>
        <v>2.5099999999999891</v>
      </c>
      <c r="B67" s="604"/>
      <c r="C67" s="761">
        <f t="shared" si="0"/>
        <v>0</v>
      </c>
      <c r="D67" s="761">
        <f t="shared" si="1"/>
        <v>0</v>
      </c>
      <c r="E67" s="761"/>
      <c r="F67" s="761"/>
      <c r="G67" s="761">
        <f t="shared" si="2"/>
        <v>0</v>
      </c>
      <c r="H67" s="761"/>
      <c r="I67" s="761">
        <f t="shared" si="5"/>
        <v>0</v>
      </c>
      <c r="J67" s="761">
        <f t="shared" si="5"/>
        <v>0</v>
      </c>
      <c r="K67" s="761">
        <f t="shared" si="5"/>
        <v>0</v>
      </c>
      <c r="L67" s="761"/>
      <c r="M67" s="604"/>
      <c r="N67" s="604"/>
      <c r="O67" s="604"/>
      <c r="P67" s="761"/>
      <c r="Q67" s="604"/>
      <c r="R67" s="604"/>
      <c r="S67" s="604"/>
    </row>
    <row r="68" spans="1:19" hidden="1">
      <c r="A68" s="780">
        <f t="shared" si="4"/>
        <v>2.5199999999999889</v>
      </c>
      <c r="B68" s="604"/>
      <c r="C68" s="761">
        <f t="shared" si="0"/>
        <v>0</v>
      </c>
      <c r="D68" s="761">
        <f t="shared" si="1"/>
        <v>0</v>
      </c>
      <c r="E68" s="761"/>
      <c r="F68" s="761"/>
      <c r="G68" s="761">
        <f t="shared" si="2"/>
        <v>0</v>
      </c>
      <c r="H68" s="761"/>
      <c r="I68" s="761">
        <f t="shared" si="5"/>
        <v>0</v>
      </c>
      <c r="J68" s="761">
        <f t="shared" si="5"/>
        <v>0</v>
      </c>
      <c r="K68" s="761">
        <f t="shared" si="5"/>
        <v>0</v>
      </c>
      <c r="L68" s="761"/>
      <c r="M68" s="604"/>
      <c r="N68" s="604"/>
      <c r="O68" s="604"/>
      <c r="P68" s="761"/>
      <c r="Q68" s="604"/>
      <c r="R68" s="604"/>
      <c r="S68" s="604"/>
    </row>
    <row r="69" spans="1:19" hidden="1">
      <c r="A69" s="780">
        <f t="shared" si="4"/>
        <v>2.5299999999999887</v>
      </c>
      <c r="B69" s="604"/>
      <c r="C69" s="761">
        <f t="shared" si="0"/>
        <v>0</v>
      </c>
      <c r="D69" s="761">
        <f t="shared" si="1"/>
        <v>0</v>
      </c>
      <c r="E69" s="761"/>
      <c r="F69" s="761"/>
      <c r="G69" s="761">
        <f t="shared" si="2"/>
        <v>0</v>
      </c>
      <c r="H69" s="761"/>
      <c r="I69" s="761">
        <f t="shared" si="5"/>
        <v>0</v>
      </c>
      <c r="J69" s="761">
        <f t="shared" si="5"/>
        <v>0</v>
      </c>
      <c r="K69" s="761">
        <f t="shared" si="5"/>
        <v>0</v>
      </c>
      <c r="L69" s="761"/>
      <c r="M69" s="604"/>
      <c r="N69" s="604"/>
      <c r="O69" s="604"/>
      <c r="P69" s="761"/>
      <c r="Q69" s="604"/>
      <c r="R69" s="604"/>
      <c r="S69" s="604"/>
    </row>
    <row r="70" spans="1:19" hidden="1">
      <c r="A70" s="780">
        <f t="shared" si="4"/>
        <v>2.5399999999999885</v>
      </c>
      <c r="B70" s="604"/>
      <c r="C70" s="761">
        <f t="shared" si="0"/>
        <v>0</v>
      </c>
      <c r="D70" s="761">
        <f t="shared" si="1"/>
        <v>0</v>
      </c>
      <c r="E70" s="761"/>
      <c r="F70" s="761"/>
      <c r="G70" s="761">
        <f t="shared" si="2"/>
        <v>0</v>
      </c>
      <c r="H70" s="761"/>
      <c r="I70" s="761">
        <f t="shared" si="5"/>
        <v>0</v>
      </c>
      <c r="J70" s="761">
        <f t="shared" si="5"/>
        <v>0</v>
      </c>
      <c r="K70" s="761">
        <f t="shared" si="5"/>
        <v>0</v>
      </c>
      <c r="L70" s="761"/>
      <c r="M70" s="604"/>
      <c r="N70" s="604"/>
      <c r="O70" s="604"/>
      <c r="P70" s="761"/>
      <c r="Q70" s="604"/>
      <c r="R70" s="604"/>
      <c r="S70" s="604"/>
    </row>
    <row r="71" spans="1:19" hidden="1">
      <c r="A71" s="780">
        <f t="shared" si="4"/>
        <v>2.5499999999999883</v>
      </c>
      <c r="B71" s="604"/>
      <c r="C71" s="761">
        <f t="shared" si="0"/>
        <v>0</v>
      </c>
      <c r="D71" s="761">
        <f t="shared" si="1"/>
        <v>0</v>
      </c>
      <c r="E71" s="761"/>
      <c r="F71" s="761"/>
      <c r="G71" s="761">
        <f t="shared" si="2"/>
        <v>0</v>
      </c>
      <c r="H71" s="761"/>
      <c r="I71" s="761">
        <f t="shared" si="5"/>
        <v>0</v>
      </c>
      <c r="J71" s="761">
        <f t="shared" si="5"/>
        <v>0</v>
      </c>
      <c r="K71" s="761">
        <f t="shared" si="5"/>
        <v>0</v>
      </c>
      <c r="L71" s="761"/>
      <c r="M71" s="604"/>
      <c r="N71" s="604"/>
      <c r="O71" s="604"/>
      <c r="P71" s="761"/>
      <c r="Q71" s="604"/>
      <c r="R71" s="604"/>
      <c r="S71" s="604"/>
    </row>
    <row r="72" spans="1:19" hidden="1">
      <c r="A72" s="780">
        <f t="shared" si="4"/>
        <v>2.5599999999999881</v>
      </c>
      <c r="B72" s="604"/>
      <c r="C72" s="761">
        <f t="shared" si="0"/>
        <v>0</v>
      </c>
      <c r="D72" s="761">
        <f t="shared" si="1"/>
        <v>0</v>
      </c>
      <c r="E72" s="761"/>
      <c r="F72" s="761"/>
      <c r="G72" s="761">
        <f t="shared" si="2"/>
        <v>0</v>
      </c>
      <c r="H72" s="761"/>
      <c r="I72" s="761">
        <f t="shared" si="5"/>
        <v>0</v>
      </c>
      <c r="J72" s="761">
        <f t="shared" si="5"/>
        <v>0</v>
      </c>
      <c r="K72" s="761">
        <f t="shared" si="5"/>
        <v>0</v>
      </c>
      <c r="L72" s="761"/>
      <c r="M72" s="604"/>
      <c r="N72" s="604"/>
      <c r="O72" s="604"/>
      <c r="P72" s="761"/>
      <c r="Q72" s="604"/>
      <c r="R72" s="604"/>
      <c r="S72" s="604"/>
    </row>
    <row r="73" spans="1:19" hidden="1">
      <c r="A73" s="780">
        <f t="shared" si="4"/>
        <v>2.5699999999999878</v>
      </c>
      <c r="B73" s="604"/>
      <c r="C73" s="761">
        <f t="shared" si="0"/>
        <v>0</v>
      </c>
      <c r="D73" s="761">
        <f t="shared" si="1"/>
        <v>0</v>
      </c>
      <c r="E73" s="761"/>
      <c r="F73" s="761"/>
      <c r="G73" s="761">
        <f t="shared" si="2"/>
        <v>0</v>
      </c>
      <c r="H73" s="761"/>
      <c r="I73" s="761">
        <f t="shared" si="5"/>
        <v>0</v>
      </c>
      <c r="J73" s="761">
        <f t="shared" si="5"/>
        <v>0</v>
      </c>
      <c r="K73" s="761">
        <f t="shared" si="5"/>
        <v>0</v>
      </c>
      <c r="L73" s="761"/>
      <c r="M73" s="604"/>
      <c r="N73" s="604"/>
      <c r="O73" s="604"/>
      <c r="P73" s="761"/>
      <c r="Q73" s="604"/>
      <c r="R73" s="604"/>
      <c r="S73" s="604"/>
    </row>
    <row r="74" spans="1:19" hidden="1">
      <c r="A74" s="780">
        <f t="shared" si="4"/>
        <v>2.5799999999999876</v>
      </c>
      <c r="B74" s="604"/>
      <c r="C74" s="761">
        <f t="shared" si="0"/>
        <v>0</v>
      </c>
      <c r="D74" s="761">
        <f t="shared" si="1"/>
        <v>0</v>
      </c>
      <c r="E74" s="761"/>
      <c r="F74" s="761"/>
      <c r="G74" s="761">
        <f t="shared" si="2"/>
        <v>0</v>
      </c>
      <c r="H74" s="761"/>
      <c r="I74" s="761">
        <f t="shared" si="5"/>
        <v>0</v>
      </c>
      <c r="J74" s="761">
        <f t="shared" si="5"/>
        <v>0</v>
      </c>
      <c r="K74" s="761">
        <f t="shared" si="5"/>
        <v>0</v>
      </c>
      <c r="L74" s="761"/>
      <c r="M74" s="604"/>
      <c r="N74" s="604"/>
      <c r="O74" s="604"/>
      <c r="P74" s="761"/>
      <c r="Q74" s="604"/>
      <c r="R74" s="604"/>
      <c r="S74" s="604"/>
    </row>
    <row r="75" spans="1:19" hidden="1">
      <c r="A75" s="780">
        <f t="shared" si="4"/>
        <v>2.5899999999999874</v>
      </c>
      <c r="B75" s="604"/>
      <c r="C75" s="761">
        <f t="shared" si="0"/>
        <v>0</v>
      </c>
      <c r="D75" s="761">
        <f t="shared" si="1"/>
        <v>0</v>
      </c>
      <c r="E75" s="761"/>
      <c r="F75" s="761"/>
      <c r="G75" s="761">
        <f t="shared" si="2"/>
        <v>0</v>
      </c>
      <c r="H75" s="761"/>
      <c r="I75" s="761">
        <f t="shared" si="5"/>
        <v>0</v>
      </c>
      <c r="J75" s="761">
        <f t="shared" si="5"/>
        <v>0</v>
      </c>
      <c r="K75" s="761">
        <f t="shared" si="5"/>
        <v>0</v>
      </c>
      <c r="L75" s="761"/>
      <c r="M75" s="604"/>
      <c r="N75" s="604"/>
      <c r="O75" s="604"/>
      <c r="P75" s="761"/>
      <c r="Q75" s="604"/>
      <c r="R75" s="604"/>
      <c r="S75" s="604"/>
    </row>
    <row r="76" spans="1:19" hidden="1">
      <c r="A76" s="780">
        <f t="shared" si="4"/>
        <v>2.5999999999999872</v>
      </c>
      <c r="B76" s="604"/>
      <c r="C76" s="761">
        <f t="shared" si="0"/>
        <v>0</v>
      </c>
      <c r="D76" s="761">
        <f t="shared" si="1"/>
        <v>0</v>
      </c>
      <c r="E76" s="761"/>
      <c r="F76" s="761"/>
      <c r="G76" s="761">
        <f t="shared" si="2"/>
        <v>0</v>
      </c>
      <c r="H76" s="761"/>
      <c r="I76" s="761">
        <f t="shared" si="5"/>
        <v>0</v>
      </c>
      <c r="J76" s="761">
        <f t="shared" si="5"/>
        <v>0</v>
      </c>
      <c r="K76" s="761">
        <f t="shared" si="5"/>
        <v>0</v>
      </c>
      <c r="L76" s="761"/>
      <c r="M76" s="604"/>
      <c r="N76" s="604"/>
      <c r="O76" s="604"/>
      <c r="P76" s="761"/>
      <c r="Q76" s="604"/>
      <c r="R76" s="604"/>
      <c r="S76" s="604"/>
    </row>
    <row r="77" spans="1:19" hidden="1">
      <c r="A77" s="780">
        <f t="shared" si="4"/>
        <v>2.609999999999987</v>
      </c>
      <c r="B77" s="604"/>
      <c r="C77" s="766">
        <f t="shared" si="0"/>
        <v>0</v>
      </c>
      <c r="D77" s="766">
        <f t="shared" si="1"/>
        <v>0</v>
      </c>
      <c r="E77" s="766"/>
      <c r="F77" s="766"/>
      <c r="G77" s="766">
        <f t="shared" si="2"/>
        <v>0</v>
      </c>
      <c r="H77" s="766"/>
      <c r="I77" s="766">
        <f t="shared" si="5"/>
        <v>0</v>
      </c>
      <c r="J77" s="766">
        <f t="shared" si="5"/>
        <v>0</v>
      </c>
      <c r="K77" s="766">
        <f t="shared" si="5"/>
        <v>0</v>
      </c>
      <c r="L77" s="766"/>
      <c r="M77" s="604"/>
      <c r="N77" s="604"/>
      <c r="O77" s="604"/>
      <c r="P77" s="766"/>
      <c r="Q77" s="604"/>
      <c r="R77" s="604"/>
      <c r="S77" s="604"/>
    </row>
    <row r="78" spans="1:19" hidden="1">
      <c r="A78" s="780">
        <f t="shared" si="4"/>
        <v>2.6199999999999868</v>
      </c>
      <c r="B78" s="604"/>
      <c r="C78" s="766">
        <f t="shared" si="0"/>
        <v>0</v>
      </c>
      <c r="D78" s="766">
        <f t="shared" si="1"/>
        <v>0</v>
      </c>
      <c r="E78" s="766"/>
      <c r="F78" s="766"/>
      <c r="G78" s="766">
        <f t="shared" si="2"/>
        <v>0</v>
      </c>
      <c r="H78" s="766"/>
      <c r="I78" s="766">
        <f t="shared" si="5"/>
        <v>0</v>
      </c>
      <c r="J78" s="766">
        <f t="shared" si="5"/>
        <v>0</v>
      </c>
      <c r="K78" s="766">
        <f t="shared" si="5"/>
        <v>0</v>
      </c>
      <c r="L78" s="766"/>
      <c r="M78" s="604"/>
      <c r="N78" s="604"/>
      <c r="O78" s="604"/>
      <c r="P78" s="766"/>
      <c r="Q78" s="604"/>
      <c r="R78" s="604"/>
      <c r="S78" s="604"/>
    </row>
    <row r="79" spans="1:19" hidden="1">
      <c r="A79" s="780">
        <f t="shared" si="4"/>
        <v>2.6299999999999866</v>
      </c>
      <c r="B79" s="604"/>
      <c r="C79" s="761">
        <f t="shared" si="0"/>
        <v>0</v>
      </c>
      <c r="D79" s="761">
        <f t="shared" si="1"/>
        <v>0</v>
      </c>
      <c r="E79" s="761"/>
      <c r="F79" s="761"/>
      <c r="G79" s="761">
        <f t="shared" si="2"/>
        <v>0</v>
      </c>
      <c r="H79" s="761"/>
      <c r="I79" s="761">
        <f t="shared" si="5"/>
        <v>0</v>
      </c>
      <c r="J79" s="761">
        <f t="shared" si="5"/>
        <v>0</v>
      </c>
      <c r="K79" s="761">
        <f t="shared" si="5"/>
        <v>0</v>
      </c>
      <c r="L79" s="761"/>
      <c r="M79" s="604"/>
      <c r="N79" s="604"/>
      <c r="O79" s="604"/>
      <c r="P79" s="761"/>
      <c r="Q79" s="604"/>
      <c r="R79" s="604"/>
      <c r="S79" s="604"/>
    </row>
    <row r="80" spans="1:19" hidden="1">
      <c r="A80" s="780">
        <f t="shared" si="4"/>
        <v>2.6399999999999864</v>
      </c>
      <c r="B80" s="604"/>
      <c r="C80" s="761">
        <f t="shared" si="0"/>
        <v>0</v>
      </c>
      <c r="D80" s="761">
        <f t="shared" si="1"/>
        <v>0</v>
      </c>
      <c r="E80" s="761"/>
      <c r="F80" s="761"/>
      <c r="G80" s="761">
        <f t="shared" si="2"/>
        <v>0</v>
      </c>
      <c r="H80" s="761"/>
      <c r="I80" s="761">
        <f t="shared" si="5"/>
        <v>0</v>
      </c>
      <c r="J80" s="761">
        <f t="shared" si="5"/>
        <v>0</v>
      </c>
      <c r="K80" s="761">
        <f t="shared" si="5"/>
        <v>0</v>
      </c>
      <c r="L80" s="761"/>
      <c r="M80" s="604"/>
      <c r="N80" s="604"/>
      <c r="O80" s="604"/>
      <c r="P80" s="761"/>
      <c r="Q80" s="604"/>
      <c r="R80" s="604"/>
      <c r="S80" s="604"/>
    </row>
    <row r="81" spans="1:19" hidden="1">
      <c r="A81" s="780">
        <f t="shared" si="4"/>
        <v>2.6499999999999861</v>
      </c>
      <c r="B81" s="604"/>
      <c r="C81" s="761">
        <f t="shared" ref="C81:C95" si="6">SUM(M81:O81)</f>
        <v>0</v>
      </c>
      <c r="D81" s="761">
        <f t="shared" ref="D81:D95" si="7">SUM(Q81:S81)</f>
        <v>0</v>
      </c>
      <c r="E81" s="761"/>
      <c r="F81" s="761"/>
      <c r="G81" s="761">
        <f t="shared" ref="G81:G107" si="8">ROUND(SUM(C81:F81)/2,0)</f>
        <v>0</v>
      </c>
      <c r="H81" s="761"/>
      <c r="I81" s="761">
        <f t="shared" ref="I81:K95" si="9">(M81+Q81)/2</f>
        <v>0</v>
      </c>
      <c r="J81" s="761">
        <f t="shared" si="9"/>
        <v>0</v>
      </c>
      <c r="K81" s="761">
        <f t="shared" si="9"/>
        <v>0</v>
      </c>
      <c r="L81" s="761"/>
      <c r="M81" s="604"/>
      <c r="N81" s="604"/>
      <c r="O81" s="604"/>
      <c r="P81" s="761"/>
      <c r="Q81" s="604"/>
      <c r="R81" s="604"/>
      <c r="S81" s="604"/>
    </row>
    <row r="82" spans="1:19" hidden="1">
      <c r="A82" s="780">
        <f t="shared" si="4"/>
        <v>2.6599999999999859</v>
      </c>
      <c r="B82" s="604"/>
      <c r="C82" s="761">
        <f t="shared" si="6"/>
        <v>0</v>
      </c>
      <c r="D82" s="761">
        <f t="shared" si="7"/>
        <v>0</v>
      </c>
      <c r="E82" s="761"/>
      <c r="F82" s="761"/>
      <c r="G82" s="761">
        <f t="shared" si="8"/>
        <v>0</v>
      </c>
      <c r="H82" s="761"/>
      <c r="I82" s="761">
        <f t="shared" si="9"/>
        <v>0</v>
      </c>
      <c r="J82" s="761">
        <f t="shared" si="9"/>
        <v>0</v>
      </c>
      <c r="K82" s="761">
        <f t="shared" si="9"/>
        <v>0</v>
      </c>
      <c r="L82" s="761"/>
      <c r="M82" s="604"/>
      <c r="N82" s="604"/>
      <c r="O82" s="604"/>
      <c r="P82" s="761"/>
      <c r="Q82" s="604"/>
      <c r="R82" s="604"/>
      <c r="S82" s="604"/>
    </row>
    <row r="83" spans="1:19" hidden="1">
      <c r="A83" s="780">
        <f t="shared" ref="A83:A107" si="10">A82+0.01</f>
        <v>2.6699999999999857</v>
      </c>
      <c r="B83" s="604"/>
      <c r="C83" s="761">
        <f t="shared" si="6"/>
        <v>0</v>
      </c>
      <c r="D83" s="761">
        <f t="shared" si="7"/>
        <v>0</v>
      </c>
      <c r="E83" s="761"/>
      <c r="F83" s="761"/>
      <c r="G83" s="761">
        <f t="shared" si="8"/>
        <v>0</v>
      </c>
      <c r="H83" s="761"/>
      <c r="I83" s="761">
        <f t="shared" si="9"/>
        <v>0</v>
      </c>
      <c r="J83" s="761">
        <f t="shared" si="9"/>
        <v>0</v>
      </c>
      <c r="K83" s="761">
        <f t="shared" si="9"/>
        <v>0</v>
      </c>
      <c r="L83" s="761"/>
      <c r="M83" s="604"/>
      <c r="N83" s="604"/>
      <c r="O83" s="604"/>
      <c r="P83" s="761"/>
      <c r="Q83" s="604"/>
      <c r="R83" s="604"/>
      <c r="S83" s="604"/>
    </row>
    <row r="84" spans="1:19" hidden="1">
      <c r="A84" s="780">
        <f t="shared" si="10"/>
        <v>2.6799999999999855</v>
      </c>
      <c r="B84" s="604"/>
      <c r="C84" s="761">
        <f t="shared" si="6"/>
        <v>0</v>
      </c>
      <c r="D84" s="761">
        <f t="shared" si="7"/>
        <v>0</v>
      </c>
      <c r="E84" s="761"/>
      <c r="F84" s="761"/>
      <c r="G84" s="761">
        <f t="shared" si="8"/>
        <v>0</v>
      </c>
      <c r="H84" s="761"/>
      <c r="I84" s="761">
        <f t="shared" si="9"/>
        <v>0</v>
      </c>
      <c r="J84" s="761">
        <f t="shared" si="9"/>
        <v>0</v>
      </c>
      <c r="K84" s="761">
        <f t="shared" si="9"/>
        <v>0</v>
      </c>
      <c r="L84" s="761"/>
      <c r="M84" s="604"/>
      <c r="N84" s="604"/>
      <c r="O84" s="604"/>
      <c r="P84" s="761"/>
      <c r="Q84" s="604"/>
      <c r="R84" s="604"/>
      <c r="S84" s="604"/>
    </row>
    <row r="85" spans="1:19" hidden="1">
      <c r="A85" s="780">
        <f t="shared" si="10"/>
        <v>2.6899999999999853</v>
      </c>
      <c r="B85" s="604"/>
      <c r="C85" s="761">
        <f t="shared" si="6"/>
        <v>0</v>
      </c>
      <c r="D85" s="761">
        <f t="shared" si="7"/>
        <v>0</v>
      </c>
      <c r="E85" s="761"/>
      <c r="F85" s="761"/>
      <c r="G85" s="761">
        <f t="shared" si="8"/>
        <v>0</v>
      </c>
      <c r="H85" s="761"/>
      <c r="I85" s="761">
        <f t="shared" si="9"/>
        <v>0</v>
      </c>
      <c r="J85" s="761">
        <f t="shared" si="9"/>
        <v>0</v>
      </c>
      <c r="K85" s="761">
        <f t="shared" si="9"/>
        <v>0</v>
      </c>
      <c r="L85" s="761"/>
      <c r="M85" s="604"/>
      <c r="N85" s="604"/>
      <c r="O85" s="604"/>
      <c r="P85" s="761"/>
      <c r="Q85" s="604"/>
      <c r="R85" s="604"/>
      <c r="S85" s="604"/>
    </row>
    <row r="86" spans="1:19" hidden="1">
      <c r="A86" s="780">
        <f t="shared" si="10"/>
        <v>2.6999999999999851</v>
      </c>
      <c r="B86" s="604"/>
      <c r="C86" s="761">
        <f t="shared" si="6"/>
        <v>0</v>
      </c>
      <c r="D86" s="761">
        <f t="shared" si="7"/>
        <v>0</v>
      </c>
      <c r="E86" s="761"/>
      <c r="F86" s="761"/>
      <c r="G86" s="761">
        <f t="shared" si="8"/>
        <v>0</v>
      </c>
      <c r="H86" s="761"/>
      <c r="I86" s="761">
        <f t="shared" si="9"/>
        <v>0</v>
      </c>
      <c r="J86" s="761">
        <f t="shared" si="9"/>
        <v>0</v>
      </c>
      <c r="K86" s="761">
        <f t="shared" si="9"/>
        <v>0</v>
      </c>
      <c r="L86" s="761"/>
      <c r="M86" s="604"/>
      <c r="N86" s="604"/>
      <c r="O86" s="604"/>
      <c r="P86" s="761"/>
      <c r="Q86" s="604"/>
      <c r="R86" s="604"/>
      <c r="S86" s="604"/>
    </row>
    <row r="87" spans="1:19" hidden="1">
      <c r="A87" s="780">
        <f t="shared" si="10"/>
        <v>2.7099999999999849</v>
      </c>
      <c r="B87" s="604"/>
      <c r="C87" s="761">
        <f t="shared" si="6"/>
        <v>0</v>
      </c>
      <c r="D87" s="761">
        <f t="shared" si="7"/>
        <v>0</v>
      </c>
      <c r="E87" s="761"/>
      <c r="F87" s="761"/>
      <c r="G87" s="761">
        <f t="shared" si="8"/>
        <v>0</v>
      </c>
      <c r="H87" s="761"/>
      <c r="I87" s="761">
        <f t="shared" si="9"/>
        <v>0</v>
      </c>
      <c r="J87" s="761">
        <f t="shared" si="9"/>
        <v>0</v>
      </c>
      <c r="K87" s="761">
        <f t="shared" si="9"/>
        <v>0</v>
      </c>
      <c r="L87" s="761"/>
      <c r="M87" s="604"/>
      <c r="N87" s="604"/>
      <c r="O87" s="604"/>
      <c r="P87" s="761"/>
      <c r="Q87" s="604"/>
      <c r="R87" s="604"/>
      <c r="S87" s="604"/>
    </row>
    <row r="88" spans="1:19" hidden="1">
      <c r="A88" s="780">
        <f t="shared" si="10"/>
        <v>2.7199999999999847</v>
      </c>
      <c r="B88" s="604"/>
      <c r="C88" s="761">
        <f t="shared" si="6"/>
        <v>0</v>
      </c>
      <c r="D88" s="761">
        <f t="shared" si="7"/>
        <v>0</v>
      </c>
      <c r="E88" s="761"/>
      <c r="F88" s="761"/>
      <c r="G88" s="761">
        <f t="shared" si="8"/>
        <v>0</v>
      </c>
      <c r="H88" s="761"/>
      <c r="I88" s="761">
        <f t="shared" si="9"/>
        <v>0</v>
      </c>
      <c r="J88" s="761">
        <f t="shared" si="9"/>
        <v>0</v>
      </c>
      <c r="K88" s="761">
        <f t="shared" si="9"/>
        <v>0</v>
      </c>
      <c r="L88" s="761"/>
      <c r="M88" s="604"/>
      <c r="N88" s="604"/>
      <c r="O88" s="604"/>
      <c r="P88" s="761"/>
      <c r="Q88" s="604"/>
      <c r="R88" s="604"/>
      <c r="S88" s="604"/>
    </row>
    <row r="89" spans="1:19" hidden="1">
      <c r="A89" s="780">
        <f t="shared" si="10"/>
        <v>2.7299999999999844</v>
      </c>
      <c r="B89" s="604"/>
      <c r="C89" s="761">
        <f t="shared" si="6"/>
        <v>0</v>
      </c>
      <c r="D89" s="761">
        <f t="shared" si="7"/>
        <v>0</v>
      </c>
      <c r="E89" s="761"/>
      <c r="F89" s="761"/>
      <c r="G89" s="761">
        <f t="shared" si="8"/>
        <v>0</v>
      </c>
      <c r="H89" s="761"/>
      <c r="I89" s="761">
        <f t="shared" si="9"/>
        <v>0</v>
      </c>
      <c r="J89" s="761">
        <f t="shared" si="9"/>
        <v>0</v>
      </c>
      <c r="K89" s="761">
        <f t="shared" si="9"/>
        <v>0</v>
      </c>
      <c r="L89" s="761"/>
      <c r="M89" s="604"/>
      <c r="N89" s="604"/>
      <c r="O89" s="604"/>
      <c r="P89" s="761"/>
      <c r="Q89" s="604"/>
      <c r="R89" s="604"/>
      <c r="S89" s="604"/>
    </row>
    <row r="90" spans="1:19" hidden="1">
      <c r="A90" s="780">
        <f t="shared" si="10"/>
        <v>2.7399999999999842</v>
      </c>
      <c r="B90" s="604"/>
      <c r="C90" s="761">
        <f t="shared" si="6"/>
        <v>0</v>
      </c>
      <c r="D90" s="761">
        <f t="shared" si="7"/>
        <v>0</v>
      </c>
      <c r="E90" s="761"/>
      <c r="F90" s="761"/>
      <c r="G90" s="761">
        <f t="shared" si="8"/>
        <v>0</v>
      </c>
      <c r="H90" s="761"/>
      <c r="I90" s="761">
        <f t="shared" si="9"/>
        <v>0</v>
      </c>
      <c r="J90" s="761">
        <f t="shared" si="9"/>
        <v>0</v>
      </c>
      <c r="K90" s="761">
        <f t="shared" si="9"/>
        <v>0</v>
      </c>
      <c r="L90" s="761"/>
      <c r="M90" s="604"/>
      <c r="N90" s="604"/>
      <c r="O90" s="604"/>
      <c r="P90" s="761"/>
      <c r="Q90" s="604"/>
      <c r="R90" s="604"/>
      <c r="S90" s="604"/>
    </row>
    <row r="91" spans="1:19" hidden="1">
      <c r="A91" s="780">
        <f t="shared" si="10"/>
        <v>2.749999999999984</v>
      </c>
      <c r="B91" s="604"/>
      <c r="C91" s="761">
        <f t="shared" si="6"/>
        <v>0</v>
      </c>
      <c r="D91" s="761">
        <f t="shared" si="7"/>
        <v>0</v>
      </c>
      <c r="E91" s="761"/>
      <c r="F91" s="761"/>
      <c r="G91" s="761">
        <f t="shared" si="8"/>
        <v>0</v>
      </c>
      <c r="H91" s="761"/>
      <c r="I91" s="761">
        <f t="shared" si="9"/>
        <v>0</v>
      </c>
      <c r="J91" s="761">
        <f t="shared" si="9"/>
        <v>0</v>
      </c>
      <c r="K91" s="761">
        <f t="shared" si="9"/>
        <v>0</v>
      </c>
      <c r="L91" s="761"/>
      <c r="M91" s="604"/>
      <c r="N91" s="604"/>
      <c r="O91" s="604"/>
      <c r="P91" s="761"/>
      <c r="Q91" s="604"/>
      <c r="R91" s="604"/>
      <c r="S91" s="604"/>
    </row>
    <row r="92" spans="1:19" hidden="1">
      <c r="A92" s="780">
        <f t="shared" si="10"/>
        <v>2.7599999999999838</v>
      </c>
      <c r="B92" s="604"/>
      <c r="C92" s="761">
        <f t="shared" si="6"/>
        <v>0</v>
      </c>
      <c r="D92" s="761">
        <f t="shared" si="7"/>
        <v>0</v>
      </c>
      <c r="E92" s="761"/>
      <c r="F92" s="761"/>
      <c r="G92" s="761">
        <f t="shared" si="8"/>
        <v>0</v>
      </c>
      <c r="H92" s="761"/>
      <c r="I92" s="761">
        <f t="shared" si="9"/>
        <v>0</v>
      </c>
      <c r="J92" s="761">
        <f t="shared" si="9"/>
        <v>0</v>
      </c>
      <c r="K92" s="761">
        <f t="shared" si="9"/>
        <v>0</v>
      </c>
      <c r="L92" s="761"/>
      <c r="M92" s="604"/>
      <c r="N92" s="604"/>
      <c r="O92" s="604"/>
      <c r="P92" s="761"/>
      <c r="Q92" s="604"/>
      <c r="R92" s="604"/>
      <c r="S92" s="604"/>
    </row>
    <row r="93" spans="1:19" hidden="1">
      <c r="A93" s="780">
        <f t="shared" si="10"/>
        <v>2.7699999999999836</v>
      </c>
      <c r="B93" s="604"/>
      <c r="C93" s="761">
        <f t="shared" si="6"/>
        <v>0</v>
      </c>
      <c r="D93" s="761">
        <f t="shared" si="7"/>
        <v>0</v>
      </c>
      <c r="E93" s="761"/>
      <c r="F93" s="761"/>
      <c r="G93" s="761">
        <f t="shared" si="8"/>
        <v>0</v>
      </c>
      <c r="H93" s="761"/>
      <c r="I93" s="761">
        <f t="shared" si="9"/>
        <v>0</v>
      </c>
      <c r="J93" s="761">
        <f t="shared" si="9"/>
        <v>0</v>
      </c>
      <c r="K93" s="761">
        <f t="shared" si="9"/>
        <v>0</v>
      </c>
      <c r="L93" s="761"/>
      <c r="M93" s="604"/>
      <c r="N93" s="604"/>
      <c r="O93" s="604"/>
      <c r="P93" s="761"/>
      <c r="Q93" s="604"/>
      <c r="R93" s="604"/>
      <c r="S93" s="604"/>
    </row>
    <row r="94" spans="1:19" hidden="1">
      <c r="A94" s="780">
        <f t="shared" si="10"/>
        <v>2.7799999999999834</v>
      </c>
      <c r="B94" s="604"/>
      <c r="C94" s="761">
        <f t="shared" si="6"/>
        <v>0</v>
      </c>
      <c r="D94" s="761">
        <f t="shared" si="7"/>
        <v>0</v>
      </c>
      <c r="E94" s="761"/>
      <c r="F94" s="761"/>
      <c r="G94" s="761">
        <f t="shared" si="8"/>
        <v>0</v>
      </c>
      <c r="H94" s="761"/>
      <c r="I94" s="761">
        <f t="shared" si="9"/>
        <v>0</v>
      </c>
      <c r="J94" s="761">
        <f t="shared" si="9"/>
        <v>0</v>
      </c>
      <c r="K94" s="761">
        <f t="shared" si="9"/>
        <v>0</v>
      </c>
      <c r="L94" s="761"/>
      <c r="M94" s="604"/>
      <c r="N94" s="604"/>
      <c r="O94" s="604"/>
      <c r="P94" s="761"/>
      <c r="Q94" s="604"/>
      <c r="R94" s="604"/>
      <c r="S94" s="604"/>
    </row>
    <row r="95" spans="1:19">
      <c r="A95" s="780">
        <f t="shared" si="10"/>
        <v>2.7899999999999832</v>
      </c>
      <c r="B95" s="604"/>
      <c r="C95" s="761">
        <f t="shared" si="6"/>
        <v>0</v>
      </c>
      <c r="D95" s="761">
        <f t="shared" si="7"/>
        <v>0</v>
      </c>
      <c r="E95" s="761"/>
      <c r="F95" s="761"/>
      <c r="G95" s="761">
        <f t="shared" si="8"/>
        <v>0</v>
      </c>
      <c r="H95" s="761"/>
      <c r="I95" s="761">
        <f t="shared" si="9"/>
        <v>0</v>
      </c>
      <c r="J95" s="761">
        <f t="shared" si="9"/>
        <v>0</v>
      </c>
      <c r="K95" s="761">
        <f t="shared" si="9"/>
        <v>0</v>
      </c>
      <c r="L95" s="761"/>
      <c r="M95" s="604"/>
      <c r="N95" s="604"/>
      <c r="O95" s="604"/>
      <c r="P95" s="761"/>
      <c r="Q95" s="604"/>
      <c r="R95" s="604"/>
      <c r="S95" s="604"/>
    </row>
    <row r="96" spans="1:19">
      <c r="A96" s="780">
        <f t="shared" si="10"/>
        <v>2.7999999999999829</v>
      </c>
      <c r="B96" s="604"/>
      <c r="C96" s="604"/>
      <c r="D96" s="604"/>
      <c r="E96" s="761">
        <f t="shared" ref="E96:F106" si="11">-C96</f>
        <v>0</v>
      </c>
      <c r="F96" s="761">
        <f t="shared" si="11"/>
        <v>0</v>
      </c>
      <c r="G96" s="761">
        <f t="shared" si="8"/>
        <v>0</v>
      </c>
      <c r="H96" s="761"/>
      <c r="I96" s="761"/>
      <c r="J96" s="761"/>
      <c r="K96" s="761"/>
      <c r="L96" s="761"/>
      <c r="M96" s="761"/>
      <c r="N96" s="761"/>
      <c r="O96" s="761"/>
      <c r="P96" s="761"/>
      <c r="Q96" s="761"/>
      <c r="R96" s="761"/>
      <c r="S96" s="761"/>
    </row>
    <row r="97" spans="1:256">
      <c r="A97" s="780">
        <f t="shared" si="10"/>
        <v>2.8099999999999827</v>
      </c>
      <c r="B97" s="604"/>
      <c r="C97" s="604"/>
      <c r="D97" s="604"/>
      <c r="E97" s="761">
        <f t="shared" si="11"/>
        <v>0</v>
      </c>
      <c r="F97" s="761">
        <f t="shared" si="11"/>
        <v>0</v>
      </c>
      <c r="G97" s="761">
        <f t="shared" si="8"/>
        <v>0</v>
      </c>
      <c r="H97" s="761"/>
      <c r="I97" s="761"/>
      <c r="J97" s="761"/>
      <c r="K97" s="761"/>
      <c r="L97" s="761"/>
      <c r="M97" s="761"/>
      <c r="N97" s="761"/>
      <c r="O97" s="761"/>
      <c r="P97" s="761"/>
      <c r="Q97" s="761"/>
      <c r="R97" s="761"/>
      <c r="S97" s="761"/>
    </row>
    <row r="98" spans="1:256">
      <c r="A98" s="780">
        <f t="shared" si="10"/>
        <v>2.8199999999999825</v>
      </c>
      <c r="B98" s="604"/>
      <c r="C98" s="604"/>
      <c r="D98" s="604"/>
      <c r="E98" s="761">
        <f t="shared" si="11"/>
        <v>0</v>
      </c>
      <c r="F98" s="761">
        <f t="shared" si="11"/>
        <v>0</v>
      </c>
      <c r="G98" s="761">
        <f t="shared" si="8"/>
        <v>0</v>
      </c>
      <c r="H98" s="761"/>
      <c r="I98" s="761"/>
      <c r="J98" s="761"/>
      <c r="K98" s="761"/>
      <c r="L98" s="761"/>
      <c r="M98" s="761"/>
      <c r="N98" s="761"/>
      <c r="O98" s="761"/>
      <c r="P98" s="761"/>
      <c r="Q98" s="761"/>
      <c r="R98" s="761"/>
      <c r="S98" s="761"/>
    </row>
    <row r="99" spans="1:256">
      <c r="A99" s="780">
        <f t="shared" si="10"/>
        <v>2.8299999999999823</v>
      </c>
      <c r="B99" s="604"/>
      <c r="C99" s="604"/>
      <c r="D99" s="604"/>
      <c r="E99" s="761">
        <f t="shared" si="11"/>
        <v>0</v>
      </c>
      <c r="F99" s="761">
        <f t="shared" si="11"/>
        <v>0</v>
      </c>
      <c r="G99" s="761">
        <f t="shared" si="8"/>
        <v>0</v>
      </c>
      <c r="H99" s="761"/>
      <c r="I99" s="761"/>
      <c r="J99" s="761"/>
      <c r="K99" s="761"/>
      <c r="L99" s="761"/>
      <c r="M99" s="761"/>
      <c r="N99" s="761"/>
      <c r="O99" s="761"/>
      <c r="P99" s="761"/>
      <c r="Q99" s="761"/>
      <c r="R99" s="761"/>
      <c r="S99" s="761"/>
    </row>
    <row r="100" spans="1:256">
      <c r="A100" s="780">
        <f t="shared" si="10"/>
        <v>2.8399999999999821</v>
      </c>
      <c r="B100" s="604"/>
      <c r="C100" s="604"/>
      <c r="D100" s="604"/>
      <c r="E100" s="761">
        <f t="shared" si="11"/>
        <v>0</v>
      </c>
      <c r="F100" s="761">
        <f t="shared" si="11"/>
        <v>0</v>
      </c>
      <c r="G100" s="761">
        <f t="shared" si="8"/>
        <v>0</v>
      </c>
      <c r="H100" s="761"/>
      <c r="I100" s="761"/>
      <c r="J100" s="761"/>
      <c r="K100" s="761"/>
      <c r="L100" s="761"/>
      <c r="M100" s="761"/>
      <c r="N100" s="761"/>
      <c r="O100" s="761"/>
      <c r="P100" s="761"/>
      <c r="Q100" s="761"/>
      <c r="R100" s="761"/>
      <c r="S100" s="761"/>
    </row>
    <row r="101" spans="1:256">
      <c r="A101" s="780">
        <f t="shared" si="10"/>
        <v>2.8499999999999819</v>
      </c>
      <c r="B101" s="604"/>
      <c r="C101" s="604"/>
      <c r="D101" s="604"/>
      <c r="E101" s="761">
        <f t="shared" si="11"/>
        <v>0</v>
      </c>
      <c r="F101" s="761">
        <f t="shared" si="11"/>
        <v>0</v>
      </c>
      <c r="G101" s="761">
        <f t="shared" si="8"/>
        <v>0</v>
      </c>
      <c r="H101" s="761"/>
      <c r="I101" s="761"/>
      <c r="J101" s="761"/>
      <c r="K101" s="761"/>
      <c r="L101" s="761"/>
      <c r="M101" s="761"/>
      <c r="N101" s="761"/>
      <c r="O101" s="761"/>
      <c r="P101" s="761"/>
      <c r="Q101" s="761"/>
      <c r="R101" s="761"/>
      <c r="S101" s="761"/>
    </row>
    <row r="102" spans="1:256">
      <c r="A102" s="780">
        <f t="shared" si="10"/>
        <v>2.8599999999999817</v>
      </c>
      <c r="B102" s="604"/>
      <c r="C102" s="604"/>
      <c r="D102" s="604"/>
      <c r="E102" s="761">
        <f t="shared" si="11"/>
        <v>0</v>
      </c>
      <c r="F102" s="761">
        <f t="shared" si="11"/>
        <v>0</v>
      </c>
      <c r="G102" s="761">
        <f t="shared" si="8"/>
        <v>0</v>
      </c>
      <c r="H102" s="761"/>
      <c r="I102" s="761"/>
      <c r="J102" s="761"/>
      <c r="K102" s="761"/>
      <c r="L102" s="761"/>
      <c r="M102" s="761"/>
      <c r="N102" s="761"/>
      <c r="O102" s="761"/>
      <c r="P102" s="761"/>
      <c r="Q102" s="761"/>
      <c r="R102" s="761"/>
      <c r="S102" s="761"/>
    </row>
    <row r="103" spans="1:256">
      <c r="A103" s="780">
        <f t="shared" si="10"/>
        <v>2.8699999999999815</v>
      </c>
      <c r="B103" s="604"/>
      <c r="C103" s="604"/>
      <c r="D103" s="604"/>
      <c r="E103" s="761">
        <f t="shared" si="11"/>
        <v>0</v>
      </c>
      <c r="F103" s="761">
        <f t="shared" si="11"/>
        <v>0</v>
      </c>
      <c r="G103" s="761">
        <f t="shared" si="8"/>
        <v>0</v>
      </c>
      <c r="H103" s="761"/>
      <c r="I103" s="761"/>
      <c r="J103" s="761"/>
      <c r="K103" s="761"/>
      <c r="L103" s="761"/>
      <c r="M103" s="761"/>
      <c r="N103" s="761"/>
      <c r="O103" s="761"/>
      <c r="P103" s="761"/>
      <c r="Q103" s="761"/>
      <c r="R103" s="761"/>
      <c r="S103" s="761"/>
    </row>
    <row r="104" spans="1:256">
      <c r="A104" s="780">
        <f t="shared" si="10"/>
        <v>2.8799999999999812</v>
      </c>
      <c r="B104" s="604"/>
      <c r="C104" s="604"/>
      <c r="D104" s="604"/>
      <c r="E104" s="761">
        <f t="shared" si="11"/>
        <v>0</v>
      </c>
      <c r="F104" s="761">
        <f t="shared" si="11"/>
        <v>0</v>
      </c>
      <c r="G104" s="761">
        <f t="shared" si="8"/>
        <v>0</v>
      </c>
      <c r="H104" s="761"/>
      <c r="I104" s="761"/>
      <c r="J104" s="761"/>
      <c r="K104" s="761"/>
      <c r="L104" s="761"/>
      <c r="M104" s="761"/>
      <c r="N104" s="761"/>
      <c r="O104" s="761"/>
      <c r="P104" s="761"/>
      <c r="Q104" s="761"/>
      <c r="R104" s="761"/>
      <c r="S104" s="761"/>
    </row>
    <row r="105" spans="1:256">
      <c r="A105" s="780">
        <f t="shared" si="10"/>
        <v>2.889999999999981</v>
      </c>
      <c r="B105" s="604"/>
      <c r="C105" s="604"/>
      <c r="D105" s="604"/>
      <c r="E105" s="761">
        <f t="shared" si="11"/>
        <v>0</v>
      </c>
      <c r="F105" s="761">
        <f t="shared" si="11"/>
        <v>0</v>
      </c>
      <c r="G105" s="761">
        <f t="shared" si="8"/>
        <v>0</v>
      </c>
      <c r="H105" s="761"/>
      <c r="I105" s="761"/>
      <c r="J105" s="761"/>
      <c r="K105" s="761"/>
      <c r="L105" s="761"/>
      <c r="M105" s="761"/>
      <c r="N105" s="761"/>
      <c r="O105" s="761"/>
      <c r="P105" s="761"/>
      <c r="Q105" s="761"/>
      <c r="R105" s="761"/>
      <c r="S105" s="761"/>
    </row>
    <row r="106" spans="1:256">
      <c r="A106" s="780">
        <f t="shared" si="10"/>
        <v>2.8999999999999808</v>
      </c>
      <c r="B106" s="604"/>
      <c r="C106" s="604"/>
      <c r="D106" s="604"/>
      <c r="E106" s="761">
        <f t="shared" si="11"/>
        <v>0</v>
      </c>
      <c r="F106" s="761">
        <f t="shared" si="11"/>
        <v>0</v>
      </c>
      <c r="G106" s="761">
        <f t="shared" si="8"/>
        <v>0</v>
      </c>
      <c r="H106" s="761"/>
      <c r="I106" s="761">
        <f t="shared" ref="I106:K107" si="12">(M106+Q106)/2</f>
        <v>0</v>
      </c>
      <c r="J106" s="761">
        <f t="shared" si="12"/>
        <v>0</v>
      </c>
      <c r="K106" s="761">
        <f t="shared" si="12"/>
        <v>0</v>
      </c>
      <c r="L106" s="761"/>
      <c r="M106" s="761"/>
      <c r="N106" s="761"/>
      <c r="O106" s="761"/>
      <c r="P106" s="761"/>
      <c r="Q106" s="761"/>
      <c r="R106" s="761"/>
      <c r="S106" s="761"/>
    </row>
    <row r="107" spans="1:256">
      <c r="A107" s="780">
        <f t="shared" si="10"/>
        <v>2.9099999999999806</v>
      </c>
      <c r="B107" s="604"/>
      <c r="C107" s="761">
        <f>SUM(M107:O107)</f>
        <v>0</v>
      </c>
      <c r="D107" s="761">
        <f>SUM(Q107:S107)</f>
        <v>0</v>
      </c>
      <c r="E107" s="761"/>
      <c r="F107" s="761"/>
      <c r="G107" s="761">
        <f t="shared" si="8"/>
        <v>0</v>
      </c>
      <c r="H107" s="761"/>
      <c r="I107" s="761">
        <f t="shared" si="12"/>
        <v>0</v>
      </c>
      <c r="J107" s="761">
        <f t="shared" si="12"/>
        <v>0</v>
      </c>
      <c r="K107" s="761">
        <f t="shared" si="12"/>
        <v>0</v>
      </c>
      <c r="L107" s="761"/>
      <c r="M107" s="763"/>
      <c r="N107" s="763"/>
      <c r="O107" s="763"/>
      <c r="P107" s="761"/>
      <c r="Q107" s="763"/>
      <c r="R107" s="763"/>
      <c r="S107" s="763"/>
    </row>
    <row r="108" spans="1:256">
      <c r="A108" s="595"/>
      <c r="B108" s="761"/>
      <c r="C108" s="761"/>
      <c r="D108" s="761"/>
      <c r="E108" s="761"/>
      <c r="F108" s="761"/>
      <c r="G108" s="761"/>
      <c r="H108" s="761"/>
      <c r="I108" s="761"/>
      <c r="J108" s="761"/>
      <c r="K108" s="761"/>
      <c r="L108" s="761"/>
      <c r="M108" s="761"/>
      <c r="N108" s="761"/>
      <c r="O108" s="761"/>
      <c r="P108" s="761"/>
      <c r="Q108" s="761"/>
      <c r="R108" s="761"/>
      <c r="S108" s="761"/>
    </row>
    <row r="109" spans="1:256" ht="13.5" thickBot="1">
      <c r="A109" s="1">
        <v>3</v>
      </c>
      <c r="B109" s="761" t="s">
        <v>733</v>
      </c>
      <c r="C109" s="772">
        <f>SUM(C17:C108)</f>
        <v>0</v>
      </c>
      <c r="D109" s="772">
        <f>SUM(D17:D108)</f>
        <v>0</v>
      </c>
      <c r="E109" s="772">
        <f>SUM(E17:E108)</f>
        <v>0</v>
      </c>
      <c r="F109" s="772">
        <f>SUM(F17:F108)</f>
        <v>0</v>
      </c>
      <c r="G109" s="772">
        <f>SUM(G17:G108)</f>
        <v>0</v>
      </c>
      <c r="H109" s="761"/>
      <c r="I109" s="772">
        <f>SUM(I17:I108)</f>
        <v>0</v>
      </c>
      <c r="J109" s="772">
        <f>SUM(J17:J108)</f>
        <v>0</v>
      </c>
      <c r="K109" s="772">
        <f>SUM(K17:K108)</f>
        <v>0</v>
      </c>
      <c r="L109" s="761"/>
      <c r="M109" s="772">
        <f>SUM(M17:M108)</f>
        <v>0</v>
      </c>
      <c r="N109" s="772">
        <f>SUM(N17:N108)</f>
        <v>0</v>
      </c>
      <c r="O109" s="772">
        <f>SUM(O17:O108)</f>
        <v>0</v>
      </c>
      <c r="P109" s="761"/>
      <c r="Q109" s="772">
        <f>SUM(Q17:Q108)</f>
        <v>0</v>
      </c>
      <c r="R109" s="772">
        <f>SUM(R17:R108)</f>
        <v>0</v>
      </c>
      <c r="S109" s="772">
        <f>SUM(S17:S108)</f>
        <v>0</v>
      </c>
    </row>
    <row r="110" spans="1:256" ht="13.5" thickTop="1">
      <c r="A110" s="1">
        <v>4</v>
      </c>
      <c r="B110" s="18" t="s">
        <v>736</v>
      </c>
      <c r="C110" s="767">
        <f>C77+C78</f>
        <v>0</v>
      </c>
      <c r="D110" s="767">
        <f>D77+D78</f>
        <v>0</v>
      </c>
      <c r="E110" s="767">
        <f>E77+E78</f>
        <v>0</v>
      </c>
      <c r="F110" s="767">
        <f>F77+F78</f>
        <v>0</v>
      </c>
      <c r="G110" s="767">
        <f>G77+G78</f>
        <v>0</v>
      </c>
      <c r="H110" s="3"/>
      <c r="I110" s="767">
        <f>I77+I78</f>
        <v>0</v>
      </c>
      <c r="J110" s="767">
        <f>J77+J78</f>
        <v>0</v>
      </c>
      <c r="K110" s="767">
        <f>K77+K78</f>
        <v>0</v>
      </c>
      <c r="L110" s="3"/>
      <c r="M110" s="767">
        <f>M77+M78</f>
        <v>0</v>
      </c>
      <c r="N110" s="767">
        <f>N77+N78</f>
        <v>0</v>
      </c>
      <c r="O110" s="767">
        <f>O77+O78</f>
        <v>0</v>
      </c>
      <c r="P110" s="3"/>
      <c r="Q110" s="767">
        <f>Q77+Q78</f>
        <v>0</v>
      </c>
      <c r="R110" s="767">
        <f>R77+R78</f>
        <v>0</v>
      </c>
      <c r="S110" s="767">
        <f>S77+S78</f>
        <v>0</v>
      </c>
      <c r="T110" s="3"/>
      <c r="IV110" s="761"/>
    </row>
    <row r="111" spans="1:256">
      <c r="I111" s="761"/>
    </row>
    <row r="147" spans="7:7">
      <c r="G147">
        <v>0</v>
      </c>
    </row>
    <row r="164" spans="7:12">
      <c r="G164" s="951"/>
      <c r="L164" s="951"/>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W115"/>
  <sheetViews>
    <sheetView workbookViewId="0">
      <selection activeCell="P10" sqref="P10"/>
    </sheetView>
  </sheetViews>
  <sheetFormatPr defaultColWidth="10" defaultRowHeight="12"/>
  <cols>
    <col min="1" max="1" width="9.42578125" style="978" customWidth="1"/>
    <col min="2" max="2" width="20.85546875" style="979" customWidth="1"/>
    <col min="3" max="3" width="35.5703125" style="978" customWidth="1"/>
    <col min="4" max="4" width="12.85546875" style="978" customWidth="1"/>
    <col min="5" max="5" width="10.42578125" style="978" customWidth="1"/>
    <col min="6" max="6" width="16.42578125" style="978" customWidth="1"/>
    <col min="7" max="7" width="12" style="978" customWidth="1"/>
    <col min="8" max="8" width="14.28515625" style="978" bestFit="1" customWidth="1"/>
    <col min="9" max="9" width="18.85546875" style="978" customWidth="1"/>
    <col min="10" max="10" width="15.5703125" style="978" customWidth="1"/>
    <col min="11" max="11" width="16.140625" style="978" customWidth="1"/>
    <col min="12" max="13" width="15" style="978" customWidth="1"/>
    <col min="14" max="14" width="13.5703125" style="978" customWidth="1"/>
    <col min="15" max="15" width="15" style="978" customWidth="1"/>
    <col min="16" max="17" width="17.5703125" style="978" customWidth="1"/>
    <col min="18" max="18" width="33" style="978" customWidth="1"/>
    <col min="19" max="19" width="15" style="978" customWidth="1"/>
    <col min="20" max="21" width="14.5703125" style="978" bestFit="1" customWidth="1"/>
    <col min="22" max="22" width="10.5703125" style="978" bestFit="1" customWidth="1"/>
    <col min="23" max="16384" width="10" style="978"/>
  </cols>
  <sheetData>
    <row r="1" spans="1:23" ht="12.75">
      <c r="A1" s="978" t="s">
        <v>904</v>
      </c>
      <c r="R1" s="980"/>
    </row>
    <row r="2" spans="1:23" ht="15" customHeight="1">
      <c r="A2" s="978" t="s">
        <v>905</v>
      </c>
      <c r="R2" s="980"/>
      <c r="V2" s="981"/>
    </row>
    <row r="3" spans="1:23" ht="12.75">
      <c r="A3" s="978" t="s">
        <v>906</v>
      </c>
      <c r="R3" s="980"/>
      <c r="V3" s="982"/>
    </row>
    <row r="4" spans="1:23">
      <c r="A4" s="978" t="s">
        <v>1023</v>
      </c>
      <c r="G4" s="983"/>
    </row>
    <row r="5" spans="1:23">
      <c r="A5" s="978" t="s">
        <v>907</v>
      </c>
      <c r="I5" s="984"/>
      <c r="J5" s="984"/>
      <c r="P5" s="984"/>
      <c r="Q5" s="984"/>
    </row>
    <row r="6" spans="1:23">
      <c r="J6" s="984"/>
      <c r="K6" s="985"/>
      <c r="L6" s="979"/>
      <c r="M6" s="979"/>
      <c r="N6" s="979"/>
      <c r="O6" s="979"/>
      <c r="P6" s="979"/>
      <c r="Q6" s="979"/>
    </row>
    <row r="7" spans="1:23">
      <c r="B7" s="986"/>
      <c r="C7" s="986"/>
      <c r="D7" s="986"/>
      <c r="E7" s="986"/>
      <c r="F7" s="986"/>
      <c r="G7" s="986"/>
      <c r="H7" s="986"/>
      <c r="I7" s="986"/>
      <c r="J7" s="986"/>
      <c r="K7" s="986"/>
      <c r="L7" s="986"/>
      <c r="M7" s="986"/>
      <c r="N7" s="986"/>
      <c r="O7" s="986"/>
      <c r="P7" s="986"/>
      <c r="Q7" s="979"/>
    </row>
    <row r="8" spans="1:23">
      <c r="A8" s="979" t="s">
        <v>148</v>
      </c>
      <c r="B8" s="979" t="s">
        <v>149</v>
      </c>
      <c r="C8" s="979" t="s">
        <v>150</v>
      </c>
      <c r="D8" s="979" t="s">
        <v>151</v>
      </c>
      <c r="E8" s="979" t="s">
        <v>152</v>
      </c>
      <c r="F8" s="979" t="s">
        <v>153</v>
      </c>
      <c r="G8" s="979" t="s">
        <v>154</v>
      </c>
      <c r="H8" s="979" t="s">
        <v>155</v>
      </c>
      <c r="I8" s="979" t="s">
        <v>908</v>
      </c>
      <c r="J8" s="979" t="s">
        <v>909</v>
      </c>
      <c r="K8" s="979" t="s">
        <v>158</v>
      </c>
      <c r="L8" s="979" t="s">
        <v>159</v>
      </c>
      <c r="M8" s="979" t="s">
        <v>160</v>
      </c>
      <c r="N8" s="979" t="s">
        <v>245</v>
      </c>
      <c r="O8" s="979" t="s">
        <v>304</v>
      </c>
      <c r="P8" s="979" t="s">
        <v>350</v>
      </c>
      <c r="Q8" s="979" t="s">
        <v>351</v>
      </c>
      <c r="R8" s="979" t="s">
        <v>352</v>
      </c>
    </row>
    <row r="9" spans="1:23" ht="14.45" customHeight="1">
      <c r="A9" s="987" t="s">
        <v>910</v>
      </c>
      <c r="B9"/>
      <c r="C9"/>
      <c r="D9"/>
      <c r="E9"/>
      <c r="I9" s="1266" t="s">
        <v>1024</v>
      </c>
      <c r="J9" s="1266"/>
      <c r="K9" s="1267" t="s">
        <v>911</v>
      </c>
      <c r="L9" s="1267"/>
      <c r="M9" s="1267"/>
      <c r="N9" s="1268" t="s">
        <v>912</v>
      </c>
      <c r="O9" s="1268"/>
      <c r="P9" s="1266" t="s">
        <v>1025</v>
      </c>
      <c r="Q9" s="1266"/>
    </row>
    <row r="10" spans="1:23" ht="48">
      <c r="A10" s="988" t="s">
        <v>913</v>
      </c>
      <c r="B10" s="989" t="s">
        <v>914</v>
      </c>
      <c r="C10" s="989" t="s">
        <v>915</v>
      </c>
      <c r="D10" s="990" t="s">
        <v>916</v>
      </c>
      <c r="E10" s="990" t="s">
        <v>917</v>
      </c>
      <c r="F10" s="990" t="s">
        <v>918</v>
      </c>
      <c r="G10" s="990" t="s">
        <v>919</v>
      </c>
      <c r="H10" s="990" t="s">
        <v>920</v>
      </c>
      <c r="I10" s="1037" t="s">
        <v>921</v>
      </c>
      <c r="J10" s="1037" t="s">
        <v>922</v>
      </c>
      <c r="K10" s="990" t="s">
        <v>923</v>
      </c>
      <c r="L10" s="1038">
        <v>182.3</v>
      </c>
      <c r="M10" s="1038">
        <v>254</v>
      </c>
      <c r="N10" s="990" t="s">
        <v>924</v>
      </c>
      <c r="O10" s="990" t="s">
        <v>925</v>
      </c>
      <c r="P10" s="1037" t="s">
        <v>921</v>
      </c>
      <c r="Q10" s="1037" t="s">
        <v>922</v>
      </c>
      <c r="R10" s="991" t="s">
        <v>926</v>
      </c>
    </row>
    <row r="11" spans="1:23">
      <c r="B11" s="978"/>
      <c r="D11" s="992"/>
      <c r="E11" s="992"/>
      <c r="F11" s="992"/>
      <c r="G11" s="992"/>
      <c r="H11" s="992"/>
      <c r="I11" s="992"/>
      <c r="J11" s="992"/>
      <c r="K11" s="992"/>
      <c r="L11" s="992"/>
      <c r="M11" s="992"/>
      <c r="N11" s="992"/>
      <c r="O11" s="992"/>
      <c r="P11" s="1269" t="s">
        <v>927</v>
      </c>
      <c r="Q11" s="1269"/>
      <c r="R11" s="993"/>
    </row>
    <row r="12" spans="1:23" ht="12.75">
      <c r="B12" s="994" t="s">
        <v>928</v>
      </c>
      <c r="C12" s="995"/>
      <c r="D12" s="995"/>
      <c r="E12" s="995"/>
      <c r="F12" s="995"/>
      <c r="G12" s="995"/>
      <c r="H12" s="995"/>
      <c r="I12" s="995"/>
      <c r="J12" s="995"/>
      <c r="K12" s="995"/>
      <c r="L12" s="995"/>
      <c r="M12" s="995"/>
      <c r="N12" s="995"/>
      <c r="O12" s="995"/>
      <c r="P12" s="995"/>
      <c r="Q12" s="995"/>
      <c r="R12" s="982"/>
      <c r="S12"/>
      <c r="T12" s="982"/>
      <c r="U12" s="982"/>
      <c r="V12" s="982"/>
      <c r="W12" s="982"/>
    </row>
    <row r="13" spans="1:23" ht="12.75">
      <c r="A13" s="978" t="s">
        <v>929</v>
      </c>
      <c r="B13" s="996" t="s">
        <v>1000</v>
      </c>
      <c r="C13" s="978" t="s">
        <v>930</v>
      </c>
      <c r="D13" s="978" t="s">
        <v>931</v>
      </c>
      <c r="E13" s="978" t="s">
        <v>932</v>
      </c>
      <c r="F13" s="979"/>
      <c r="I13" s="1039"/>
      <c r="J13" s="1040"/>
      <c r="K13" s="1039"/>
      <c r="L13" s="1039"/>
      <c r="M13" s="1039"/>
      <c r="N13" s="1039"/>
      <c r="O13" s="1039"/>
      <c r="P13" s="1041">
        <f>SUM(I13:O13)</f>
        <v>0</v>
      </c>
      <c r="Q13" s="997"/>
      <c r="R13" s="998" t="s">
        <v>1001</v>
      </c>
      <c r="S13"/>
      <c r="T13" s="982"/>
      <c r="U13" s="982"/>
      <c r="V13" s="982"/>
      <c r="W13" s="982"/>
    </row>
    <row r="14" spans="1:23" ht="12.75">
      <c r="A14" s="978" t="s">
        <v>933</v>
      </c>
      <c r="B14" s="996" t="s">
        <v>1002</v>
      </c>
      <c r="C14" s="986" t="s">
        <v>934</v>
      </c>
      <c r="D14" s="986" t="s">
        <v>935</v>
      </c>
      <c r="E14" s="978" t="s">
        <v>932</v>
      </c>
      <c r="F14" s="999">
        <v>-21108640</v>
      </c>
      <c r="G14" s="987" t="s">
        <v>936</v>
      </c>
      <c r="H14" s="987" t="s">
        <v>937</v>
      </c>
      <c r="I14" s="997"/>
      <c r="J14" s="998"/>
      <c r="K14" s="1042"/>
      <c r="L14" s="1042"/>
      <c r="M14" s="1042"/>
      <c r="N14" s="1042"/>
      <c r="O14" s="1042"/>
      <c r="P14" s="997"/>
      <c r="Q14" s="1041">
        <f>SUM(J14:P14)</f>
        <v>0</v>
      </c>
      <c r="R14" s="998" t="s">
        <v>630</v>
      </c>
      <c r="S14"/>
      <c r="T14" s="982"/>
      <c r="U14" s="982"/>
      <c r="V14" s="982"/>
      <c r="W14" s="982"/>
    </row>
    <row r="15" spans="1:23" ht="12.75">
      <c r="A15" s="978" t="s">
        <v>938</v>
      </c>
      <c r="B15" s="996" t="s">
        <v>1003</v>
      </c>
      <c r="C15" s="986" t="s">
        <v>939</v>
      </c>
      <c r="D15" s="986" t="s">
        <v>935</v>
      </c>
      <c r="E15" s="978" t="s">
        <v>932</v>
      </c>
      <c r="F15" s="979"/>
      <c r="I15" s="998"/>
      <c r="J15" s="997"/>
      <c r="K15" s="1042"/>
      <c r="L15" s="1042"/>
      <c r="M15" s="1042"/>
      <c r="N15" s="1042"/>
      <c r="O15" s="1042"/>
      <c r="P15" s="1041">
        <f>SUM(I15:O15)</f>
        <v>0</v>
      </c>
      <c r="Q15" s="997"/>
      <c r="R15" s="998" t="s">
        <v>940</v>
      </c>
      <c r="S15"/>
      <c r="T15" s="982"/>
      <c r="U15" s="982"/>
      <c r="V15" s="982"/>
      <c r="W15" s="982"/>
    </row>
    <row r="16" spans="1:23" ht="12.75">
      <c r="A16" s="978" t="s">
        <v>941</v>
      </c>
      <c r="B16" s="996" t="s">
        <v>1004</v>
      </c>
      <c r="C16" s="978" t="s">
        <v>942</v>
      </c>
      <c r="D16" s="978" t="s">
        <v>935</v>
      </c>
      <c r="E16" s="978" t="s">
        <v>932</v>
      </c>
      <c r="F16" s="999">
        <v>-42122240</v>
      </c>
      <c r="G16" s="987" t="s">
        <v>936</v>
      </c>
      <c r="H16" s="987" t="s">
        <v>937</v>
      </c>
      <c r="I16" s="997"/>
      <c r="J16" s="1000"/>
      <c r="K16" s="1000"/>
      <c r="L16" s="1000"/>
      <c r="M16" s="1000"/>
      <c r="N16" s="1000"/>
      <c r="O16" s="1000"/>
      <c r="P16" s="1001" t="s">
        <v>114</v>
      </c>
      <c r="Q16" s="1002">
        <f>SUM(J16:O16)</f>
        <v>0</v>
      </c>
      <c r="R16" s="1264" t="s">
        <v>1005</v>
      </c>
      <c r="S16"/>
      <c r="T16" s="982"/>
      <c r="U16" s="982"/>
      <c r="V16" s="982"/>
      <c r="W16" s="982"/>
    </row>
    <row r="17" spans="1:23" ht="12.75">
      <c r="A17" s="978" t="s">
        <v>943</v>
      </c>
      <c r="B17" s="996" t="s">
        <v>1004</v>
      </c>
      <c r="C17" s="978" t="s">
        <v>942</v>
      </c>
      <c r="D17" s="978" t="s">
        <v>944</v>
      </c>
      <c r="E17" s="978" t="s">
        <v>932</v>
      </c>
      <c r="F17" s="1003">
        <v>-21950878</v>
      </c>
      <c r="G17" s="987" t="s">
        <v>945</v>
      </c>
      <c r="H17" s="987" t="s">
        <v>946</v>
      </c>
      <c r="I17" s="997"/>
      <c r="J17" s="1042"/>
      <c r="K17" s="1042"/>
      <c r="L17" s="1042"/>
      <c r="M17" s="1042"/>
      <c r="N17" s="1042"/>
      <c r="O17" s="1042"/>
      <c r="P17" s="1043"/>
      <c r="Q17" s="1044">
        <f>SUM(J17:O17)</f>
        <v>0</v>
      </c>
      <c r="R17" s="1264"/>
      <c r="S17"/>
      <c r="T17" s="982"/>
      <c r="U17" s="982"/>
      <c r="V17" s="982"/>
      <c r="W17" s="982"/>
    </row>
    <row r="18" spans="1:23" ht="12.75">
      <c r="A18" s="978" t="s">
        <v>947</v>
      </c>
      <c r="B18" s="996" t="s">
        <v>1006</v>
      </c>
      <c r="C18" s="978" t="s">
        <v>948</v>
      </c>
      <c r="D18" s="978" t="s">
        <v>935</v>
      </c>
      <c r="E18" s="978" t="s">
        <v>932</v>
      </c>
      <c r="F18" s="1003"/>
      <c r="G18" s="987"/>
      <c r="H18" s="987"/>
      <c r="I18" s="1042"/>
      <c r="J18" s="997"/>
      <c r="K18" s="1042"/>
      <c r="L18" s="1042"/>
      <c r="M18" s="1000"/>
      <c r="N18" s="1042"/>
      <c r="O18" s="1042"/>
      <c r="P18" s="1045">
        <f>SUM(I18:O18)</f>
        <v>0</v>
      </c>
      <c r="Q18" s="1046"/>
      <c r="R18" s="1270" t="s">
        <v>1007</v>
      </c>
      <c r="S18"/>
      <c r="T18" s="982"/>
      <c r="U18" s="982"/>
      <c r="V18" s="982"/>
      <c r="W18" s="982"/>
    </row>
    <row r="19" spans="1:23" ht="12.75">
      <c r="A19" s="978" t="s">
        <v>949</v>
      </c>
      <c r="B19" s="996" t="s">
        <v>1006</v>
      </c>
      <c r="C19" s="978" t="s">
        <v>948</v>
      </c>
      <c r="D19" s="978" t="s">
        <v>944</v>
      </c>
      <c r="E19" s="978" t="s">
        <v>932</v>
      </c>
      <c r="F19" s="1003"/>
      <c r="G19" s="987"/>
      <c r="H19" s="987"/>
      <c r="I19" s="1042"/>
      <c r="J19" s="997"/>
      <c r="K19" s="1042"/>
      <c r="L19" s="1042"/>
      <c r="M19" s="1042"/>
      <c r="N19" s="1042"/>
      <c r="O19" s="1042"/>
      <c r="P19" s="1045">
        <f>SUM(I19:O19)</f>
        <v>0</v>
      </c>
      <c r="Q19" s="1046"/>
      <c r="R19" s="1270"/>
      <c r="S19"/>
      <c r="T19" s="982"/>
      <c r="U19" s="982"/>
      <c r="V19" s="982"/>
      <c r="W19" s="982"/>
    </row>
    <row r="20" spans="1:23" ht="12.75">
      <c r="A20" s="978" t="s">
        <v>950</v>
      </c>
      <c r="B20" s="996" t="s">
        <v>1008</v>
      </c>
      <c r="C20" s="978" t="s">
        <v>951</v>
      </c>
      <c r="D20" s="978" t="s">
        <v>944</v>
      </c>
      <c r="E20" s="978" t="s">
        <v>932</v>
      </c>
      <c r="F20" s="1003">
        <v>-3151603</v>
      </c>
      <c r="G20" s="987" t="s">
        <v>945</v>
      </c>
      <c r="H20" s="987" t="s">
        <v>946</v>
      </c>
      <c r="I20" s="997"/>
      <c r="J20" s="1042"/>
      <c r="K20" s="1042"/>
      <c r="L20" s="1042"/>
      <c r="M20" s="1042"/>
      <c r="N20" s="1042"/>
      <c r="O20" s="1042"/>
      <c r="P20" s="1043" t="s">
        <v>114</v>
      </c>
      <c r="Q20" s="1044">
        <f>SUM(J20:O20)</f>
        <v>0</v>
      </c>
      <c r="R20" s="1004" t="s">
        <v>1009</v>
      </c>
      <c r="S20"/>
      <c r="T20" s="982"/>
      <c r="U20" s="982"/>
      <c r="V20" s="982"/>
      <c r="W20" s="982"/>
    </row>
    <row r="21" spans="1:23" ht="12.75">
      <c r="A21" s="978" t="s">
        <v>952</v>
      </c>
      <c r="B21" s="996" t="s">
        <v>1010</v>
      </c>
      <c r="C21" s="978" t="s">
        <v>953</v>
      </c>
      <c r="D21" s="978" t="s">
        <v>944</v>
      </c>
      <c r="E21" s="978" t="s">
        <v>932</v>
      </c>
      <c r="F21" s="999"/>
      <c r="G21" s="987"/>
      <c r="H21" s="987"/>
      <c r="I21" s="1042"/>
      <c r="J21" s="1046"/>
      <c r="K21" s="1042"/>
      <c r="L21" s="1042"/>
      <c r="M21" s="1042"/>
      <c r="N21" s="1042"/>
      <c r="O21" s="1042"/>
      <c r="P21" s="1045">
        <f>SUM(I21:O21)</f>
        <v>0</v>
      </c>
      <c r="Q21" s="1043"/>
      <c r="R21" s="1005" t="s">
        <v>1011</v>
      </c>
      <c r="S21"/>
      <c r="T21" s="982"/>
      <c r="U21" s="982"/>
      <c r="V21" s="982"/>
      <c r="W21" s="982"/>
    </row>
    <row r="22" spans="1:23" ht="12.75">
      <c r="A22" s="978" t="s">
        <v>954</v>
      </c>
      <c r="B22" s="987" t="s">
        <v>955</v>
      </c>
      <c r="F22" s="999"/>
      <c r="G22" s="987"/>
      <c r="H22" s="987"/>
      <c r="I22" s="1042"/>
      <c r="J22" s="1042"/>
      <c r="K22" s="1042"/>
      <c r="L22" s="1042"/>
      <c r="M22" s="1042"/>
      <c r="N22" s="1042"/>
      <c r="O22" s="1042"/>
      <c r="P22" s="1047"/>
      <c r="Q22" s="1045"/>
      <c r="R22" s="1005"/>
      <c r="S22"/>
      <c r="T22" s="982"/>
      <c r="U22" s="982"/>
      <c r="V22" s="982"/>
      <c r="W22" s="982"/>
    </row>
    <row r="23" spans="1:23" ht="12.75">
      <c r="B23"/>
      <c r="C23"/>
      <c r="D23"/>
      <c r="E23"/>
      <c r="F23"/>
      <c r="G23"/>
      <c r="H23"/>
      <c r="I23"/>
      <c r="J23"/>
      <c r="K23"/>
      <c r="L23"/>
      <c r="M23"/>
      <c r="N23"/>
      <c r="O23"/>
      <c r="P23" s="1006"/>
      <c r="Q23"/>
      <c r="R23"/>
      <c r="S23"/>
      <c r="T23" s="982"/>
      <c r="U23" s="982"/>
      <c r="V23" s="982"/>
      <c r="W23" s="982"/>
    </row>
    <row r="24" spans="1:23" s="982" customFormat="1" ht="12.75">
      <c r="A24" s="978"/>
      <c r="B24" s="994" t="s">
        <v>956</v>
      </c>
      <c r="R24" s="1007"/>
      <c r="S24"/>
    </row>
    <row r="25" spans="1:23" ht="11.45" customHeight="1">
      <c r="A25" s="978" t="s">
        <v>957</v>
      </c>
      <c r="B25" s="996">
        <v>182.3</v>
      </c>
      <c r="C25" s="1008" t="s">
        <v>958</v>
      </c>
      <c r="D25" s="997" t="s">
        <v>114</v>
      </c>
      <c r="E25" s="978" t="s">
        <v>932</v>
      </c>
      <c r="F25" s="997"/>
      <c r="G25" s="997" t="s">
        <v>114</v>
      </c>
      <c r="H25" s="997"/>
      <c r="I25" s="1048"/>
      <c r="J25" s="997"/>
      <c r="K25" s="1042"/>
      <c r="L25" s="1042"/>
      <c r="M25" s="1042"/>
      <c r="N25" s="997"/>
      <c r="O25" s="997"/>
      <c r="P25" s="1047">
        <f>SUM(I25:O25)</f>
        <v>0</v>
      </c>
      <c r="Q25" s="1009"/>
      <c r="R25" s="998" t="s">
        <v>959</v>
      </c>
      <c r="S25"/>
      <c r="T25" s="982"/>
      <c r="U25" s="982"/>
      <c r="V25" s="982"/>
      <c r="W25" s="982"/>
    </row>
    <row r="26" spans="1:23" ht="11.45" customHeight="1">
      <c r="A26" s="978" t="s">
        <v>960</v>
      </c>
      <c r="B26" s="996">
        <v>254</v>
      </c>
      <c r="C26" s="1008" t="s">
        <v>961</v>
      </c>
      <c r="D26" s="997" t="s">
        <v>114</v>
      </c>
      <c r="E26" s="978" t="s">
        <v>932</v>
      </c>
      <c r="F26" s="997"/>
      <c r="G26" s="997" t="s">
        <v>114</v>
      </c>
      <c r="H26" s="997"/>
      <c r="I26" s="1048"/>
      <c r="J26" s="997"/>
      <c r="K26" s="1042"/>
      <c r="L26" s="1042"/>
      <c r="M26" s="1042"/>
      <c r="N26" s="997"/>
      <c r="O26" s="997"/>
      <c r="P26" s="1047">
        <f>SUM(I26:O26)</f>
        <v>0</v>
      </c>
      <c r="Q26" s="1009"/>
      <c r="R26" s="998" t="s">
        <v>962</v>
      </c>
      <c r="S26"/>
      <c r="T26" s="982"/>
      <c r="U26" s="982"/>
      <c r="V26" s="982"/>
      <c r="W26" s="982"/>
    </row>
    <row r="27" spans="1:23" ht="11.45" customHeight="1">
      <c r="A27" s="978" t="s">
        <v>963</v>
      </c>
      <c r="B27" s="987" t="s">
        <v>955</v>
      </c>
      <c r="C27" s="1008"/>
      <c r="D27" s="997"/>
      <c r="F27" s="997"/>
      <c r="G27" s="997"/>
      <c r="H27" s="997"/>
      <c r="I27" s="1042"/>
      <c r="J27" s="997"/>
      <c r="K27" s="1042"/>
      <c r="L27" s="1042"/>
      <c r="M27" s="1042"/>
      <c r="N27" s="997"/>
      <c r="O27" s="997"/>
      <c r="P27" s="1009"/>
      <c r="Q27" s="1009"/>
      <c r="R27" s="998"/>
      <c r="S27"/>
      <c r="T27" s="982"/>
      <c r="U27" s="982"/>
      <c r="V27" s="982"/>
      <c r="W27" s="982"/>
    </row>
    <row r="28" spans="1:23">
      <c r="C28" s="1008"/>
      <c r="D28" s="986"/>
      <c r="E28" s="986"/>
      <c r="F28" s="986"/>
      <c r="G28" s="986"/>
      <c r="H28" s="986"/>
      <c r="I28" s="986"/>
      <c r="J28" s="986"/>
      <c r="K28" s="986"/>
      <c r="L28" s="986"/>
      <c r="M28" s="986"/>
      <c r="N28" s="986"/>
      <c r="O28" s="986"/>
      <c r="P28" s="986"/>
      <c r="Q28" s="986"/>
      <c r="R28" s="1010"/>
      <c r="S28" s="982"/>
      <c r="T28" s="982"/>
      <c r="U28" s="982"/>
      <c r="V28" s="982"/>
      <c r="W28" s="982"/>
    </row>
    <row r="29" spans="1:23" ht="12.75" thickBot="1">
      <c r="A29" s="1011">
        <v>3</v>
      </c>
      <c r="B29" s="1265" t="str">
        <f>"Total For Accounting Entires (Sum of Lines "&amp;A13&amp;" through "&amp;A26&amp;")"</f>
        <v>Total For Accounting Entires (Sum of Lines 1a through 2b)</v>
      </c>
      <c r="C29" s="1265"/>
      <c r="D29" s="997"/>
      <c r="E29" s="997"/>
      <c r="F29" s="1049">
        <f>SUM(F13:F28)</f>
        <v>-88333361</v>
      </c>
      <c r="G29" s="997"/>
      <c r="H29" s="997"/>
      <c r="I29" s="1049">
        <f>SUM(I13:I28)</f>
        <v>0</v>
      </c>
      <c r="J29" s="1049">
        <f>SUM(J13:J28)</f>
        <v>0</v>
      </c>
      <c r="K29" s="1050">
        <f>SUM(K13:K28)</f>
        <v>0</v>
      </c>
      <c r="L29" s="1050">
        <f>SUM(L13:L28)</f>
        <v>0</v>
      </c>
      <c r="M29" s="1049">
        <f>SUM(M13:M28)</f>
        <v>0</v>
      </c>
      <c r="N29" s="1051">
        <f>-SUM(N13:N28)</f>
        <v>0</v>
      </c>
      <c r="O29" s="1049">
        <f>-SUM(O13:O28)</f>
        <v>0</v>
      </c>
      <c r="P29" s="1050">
        <f>SUM(P13:P28)</f>
        <v>0</v>
      </c>
      <c r="Q29" s="1049">
        <f>SUM(Q13:Q28)</f>
        <v>0</v>
      </c>
      <c r="R29" s="1012"/>
      <c r="S29" s="982"/>
      <c r="T29" s="982"/>
      <c r="U29" s="982"/>
      <c r="V29" s="982"/>
      <c r="W29" s="982"/>
    </row>
    <row r="30" spans="1:23" ht="12.75" thickTop="1">
      <c r="C30" s="1008"/>
      <c r="D30" s="986"/>
      <c r="E30" s="986"/>
      <c r="F30" s="1013"/>
      <c r="G30" s="986"/>
      <c r="H30" s="986"/>
      <c r="I30" s="1014"/>
      <c r="J30" s="1003"/>
      <c r="K30" s="1015"/>
      <c r="L30" s="1015"/>
      <c r="M30" s="1015"/>
      <c r="N30" s="1052" t="s">
        <v>964</v>
      </c>
      <c r="O30" s="1052"/>
      <c r="P30" s="1015"/>
      <c r="Q30" s="1016"/>
      <c r="R30" s="1012"/>
      <c r="S30" s="982"/>
      <c r="T30" s="982"/>
      <c r="U30" s="982"/>
      <c r="V30" s="982"/>
      <c r="W30" s="982"/>
    </row>
    <row r="31" spans="1:23">
      <c r="A31" s="987" t="s">
        <v>965</v>
      </c>
      <c r="C31" s="1008"/>
      <c r="D31" s="986"/>
      <c r="E31" s="986"/>
      <c r="F31" s="986"/>
      <c r="G31" s="986"/>
      <c r="H31" s="986"/>
      <c r="I31" s="1014"/>
      <c r="J31" s="1003"/>
      <c r="K31" s="1015"/>
      <c r="L31" s="1015"/>
      <c r="M31" s="1015"/>
      <c r="N31" s="1003"/>
      <c r="O31" s="1003"/>
      <c r="P31" s="1015"/>
      <c r="Q31" s="1016"/>
      <c r="R31" s="1012"/>
      <c r="S31" s="982"/>
      <c r="T31" s="982"/>
      <c r="U31" s="982"/>
      <c r="V31" s="982"/>
      <c r="W31" s="982"/>
    </row>
    <row r="32" spans="1:23">
      <c r="B32" s="978"/>
      <c r="D32" s="992"/>
      <c r="E32" s="992"/>
      <c r="F32" s="992"/>
      <c r="G32" s="992"/>
      <c r="H32" s="992"/>
      <c r="I32" s="992"/>
      <c r="J32" s="992"/>
      <c r="K32" s="992"/>
      <c r="L32" s="992"/>
      <c r="M32" s="992"/>
      <c r="N32" s="992"/>
      <c r="O32" s="992"/>
      <c r="P32" s="1269" t="s">
        <v>927</v>
      </c>
      <c r="Q32" s="1269"/>
      <c r="R32" s="991"/>
      <c r="S32" s="982"/>
      <c r="T32" s="982"/>
      <c r="U32" s="982"/>
      <c r="V32" s="982"/>
      <c r="W32" s="982"/>
    </row>
    <row r="33" spans="1:23">
      <c r="B33" s="994" t="s">
        <v>928</v>
      </c>
      <c r="C33" s="995"/>
      <c r="D33" s="995"/>
      <c r="E33" s="995"/>
      <c r="F33" s="995"/>
      <c r="G33" s="995"/>
      <c r="H33" s="995"/>
      <c r="I33" s="995"/>
      <c r="J33" s="995"/>
      <c r="K33" s="995"/>
      <c r="L33" s="995"/>
      <c r="M33" s="995"/>
      <c r="N33" s="995"/>
      <c r="O33" s="995"/>
      <c r="P33" s="995"/>
      <c r="Q33" s="995"/>
      <c r="R33" s="982"/>
      <c r="S33" s="982"/>
      <c r="T33" s="982"/>
      <c r="U33" s="982"/>
      <c r="V33" s="982"/>
      <c r="W33" s="982"/>
    </row>
    <row r="34" spans="1:23">
      <c r="A34" s="978" t="s">
        <v>966</v>
      </c>
      <c r="B34" s="996" t="s">
        <v>1000</v>
      </c>
      <c r="C34" s="978" t="s">
        <v>930</v>
      </c>
      <c r="D34" s="978" t="s">
        <v>931</v>
      </c>
      <c r="E34" s="978" t="s">
        <v>932</v>
      </c>
      <c r="F34" s="979"/>
      <c r="I34" s="1042"/>
      <c r="J34" s="1046"/>
      <c r="K34" s="1042"/>
      <c r="L34" s="1042"/>
      <c r="M34" s="1042"/>
      <c r="N34" s="1042"/>
      <c r="O34" s="1042"/>
      <c r="P34" s="1045">
        <f>SUM(I34:O34)</f>
        <v>0</v>
      </c>
      <c r="Q34" s="997"/>
      <c r="R34" s="998" t="s">
        <v>630</v>
      </c>
      <c r="S34" s="982"/>
      <c r="T34" s="982"/>
      <c r="U34" s="982"/>
      <c r="V34" s="982"/>
      <c r="W34" s="982"/>
    </row>
    <row r="35" spans="1:23">
      <c r="A35" s="978" t="s">
        <v>967</v>
      </c>
      <c r="B35" s="996" t="s">
        <v>1004</v>
      </c>
      <c r="C35" s="978" t="s">
        <v>942</v>
      </c>
      <c r="D35" s="978" t="s">
        <v>935</v>
      </c>
      <c r="E35" s="978" t="s">
        <v>932</v>
      </c>
      <c r="F35" s="999">
        <v>-9984247</v>
      </c>
      <c r="G35" s="987" t="s">
        <v>936</v>
      </c>
      <c r="H35" s="987" t="s">
        <v>937</v>
      </c>
      <c r="I35" s="997"/>
      <c r="J35" s="1042"/>
      <c r="K35" s="1042"/>
      <c r="L35" s="1042"/>
      <c r="M35" s="1042"/>
      <c r="N35" s="1042"/>
      <c r="O35" s="1042"/>
      <c r="P35" s="1043" t="s">
        <v>114</v>
      </c>
      <c r="Q35" s="1044">
        <f>SUM(J35:O35)</f>
        <v>0</v>
      </c>
      <c r="R35" s="1264" t="s">
        <v>1012</v>
      </c>
      <c r="S35" s="982"/>
      <c r="T35" s="982"/>
      <c r="U35" s="982"/>
      <c r="V35" s="982"/>
      <c r="W35" s="982"/>
    </row>
    <row r="36" spans="1:23">
      <c r="A36" s="978" t="s">
        <v>968</v>
      </c>
      <c r="B36" s="996" t="s">
        <v>1004</v>
      </c>
      <c r="C36" s="978" t="s">
        <v>942</v>
      </c>
      <c r="D36" s="978" t="s">
        <v>944</v>
      </c>
      <c r="E36" s="978" t="s">
        <v>932</v>
      </c>
      <c r="F36" s="1003">
        <v>-518040</v>
      </c>
      <c r="G36" s="987" t="s">
        <v>945</v>
      </c>
      <c r="H36" s="987" t="s">
        <v>946</v>
      </c>
      <c r="I36" s="997"/>
      <c r="J36" s="1042"/>
      <c r="K36" s="1042"/>
      <c r="L36" s="1042"/>
      <c r="M36" s="1042"/>
      <c r="N36" s="1042"/>
      <c r="O36" s="1042"/>
      <c r="P36" s="1043"/>
      <c r="Q36" s="1044">
        <f>SUM(J36:O36)</f>
        <v>0</v>
      </c>
      <c r="R36" s="1264"/>
      <c r="S36" s="982"/>
      <c r="T36" s="982"/>
      <c r="U36" s="982"/>
      <c r="V36" s="982"/>
      <c r="W36" s="982"/>
    </row>
    <row r="37" spans="1:23">
      <c r="A37" s="978" t="s">
        <v>969</v>
      </c>
      <c r="B37" s="996" t="s">
        <v>1006</v>
      </c>
      <c r="C37" s="978" t="s">
        <v>948</v>
      </c>
      <c r="D37" s="978" t="s">
        <v>935</v>
      </c>
      <c r="E37" s="978" t="s">
        <v>932</v>
      </c>
      <c r="F37" s="1003"/>
      <c r="G37" s="987"/>
      <c r="H37" s="987"/>
      <c r="I37" s="1042"/>
      <c r="J37" s="997"/>
      <c r="K37" s="1042"/>
      <c r="L37" s="1042"/>
      <c r="M37" s="1042"/>
      <c r="N37" s="1042"/>
      <c r="O37" s="1042"/>
      <c r="P37" s="1045">
        <f>SUM(I37:O37)</f>
        <v>0</v>
      </c>
      <c r="Q37" s="1046"/>
      <c r="R37" s="1270" t="s">
        <v>630</v>
      </c>
      <c r="S37" s="982"/>
      <c r="T37" s="982"/>
      <c r="U37" s="982"/>
      <c r="V37" s="982"/>
      <c r="W37" s="982"/>
    </row>
    <row r="38" spans="1:23">
      <c r="A38" s="978" t="s">
        <v>970</v>
      </c>
      <c r="B38" s="996" t="s">
        <v>1006</v>
      </c>
      <c r="C38" s="978" t="s">
        <v>948</v>
      </c>
      <c r="D38" s="978" t="s">
        <v>944</v>
      </c>
      <c r="E38" s="978" t="s">
        <v>932</v>
      </c>
      <c r="F38" s="1003"/>
      <c r="G38" s="987"/>
      <c r="H38" s="987"/>
      <c r="I38" s="1042"/>
      <c r="J38" s="997"/>
      <c r="K38" s="1042"/>
      <c r="L38" s="1042"/>
      <c r="M38" s="1042"/>
      <c r="N38" s="1042"/>
      <c r="O38" s="1042"/>
      <c r="P38" s="1045">
        <f>SUM(I38:O38)</f>
        <v>0</v>
      </c>
      <c r="Q38" s="1046"/>
      <c r="R38" s="1270"/>
      <c r="S38" s="982"/>
      <c r="T38" s="982"/>
      <c r="U38" s="982"/>
      <c r="V38" s="982"/>
      <c r="W38" s="982"/>
    </row>
    <row r="39" spans="1:23">
      <c r="A39" s="978" t="s">
        <v>971</v>
      </c>
      <c r="B39" s="996" t="s">
        <v>1008</v>
      </c>
      <c r="C39" s="978" t="s">
        <v>951</v>
      </c>
      <c r="D39" s="978" t="s">
        <v>944</v>
      </c>
      <c r="E39" s="978" t="s">
        <v>932</v>
      </c>
      <c r="F39" s="1003">
        <v>351772</v>
      </c>
      <c r="G39" s="987" t="s">
        <v>945</v>
      </c>
      <c r="H39" s="987" t="s">
        <v>946</v>
      </c>
      <c r="I39" s="997"/>
      <c r="J39" s="1042"/>
      <c r="K39" s="1042"/>
      <c r="L39" s="1042"/>
      <c r="M39" s="1042"/>
      <c r="N39" s="1042"/>
      <c r="O39" s="1042"/>
      <c r="P39" s="1043" t="s">
        <v>114</v>
      </c>
      <c r="Q39" s="1044">
        <f>SUM(J39:O39)</f>
        <v>0</v>
      </c>
      <c r="R39" s="1030" t="s">
        <v>1013</v>
      </c>
      <c r="S39" s="982"/>
      <c r="T39" s="982"/>
      <c r="U39" s="982"/>
      <c r="V39" s="982"/>
      <c r="W39" s="982"/>
    </row>
    <row r="40" spans="1:23">
      <c r="A40" s="978" t="s">
        <v>972</v>
      </c>
      <c r="B40" s="996" t="s">
        <v>1010</v>
      </c>
      <c r="C40" s="978" t="s">
        <v>953</v>
      </c>
      <c r="D40" s="978" t="s">
        <v>944</v>
      </c>
      <c r="E40" s="978" t="s">
        <v>932</v>
      </c>
      <c r="F40" s="999"/>
      <c r="G40" s="987"/>
      <c r="H40" s="987"/>
      <c r="I40" s="1042"/>
      <c r="J40" s="1046"/>
      <c r="K40" s="1042"/>
      <c r="L40" s="1042"/>
      <c r="M40" s="1042"/>
      <c r="N40" s="1042"/>
      <c r="O40" s="1042"/>
      <c r="P40" s="1045">
        <f>SUM(I40:O40)</f>
        <v>0</v>
      </c>
      <c r="Q40" s="1043"/>
      <c r="R40" s="998" t="s">
        <v>630</v>
      </c>
      <c r="S40" s="982"/>
      <c r="T40" s="982"/>
      <c r="U40" s="982"/>
      <c r="V40" s="982"/>
      <c r="W40" s="982"/>
    </row>
    <row r="41" spans="1:23">
      <c r="A41" s="978" t="s">
        <v>973</v>
      </c>
      <c r="B41" s="987" t="s">
        <v>955</v>
      </c>
      <c r="F41" s="999"/>
      <c r="G41" s="987"/>
      <c r="H41" s="987"/>
      <c r="I41" s="1042"/>
      <c r="J41" s="1042"/>
      <c r="K41" s="1042"/>
      <c r="L41" s="1042"/>
      <c r="M41" s="1042"/>
      <c r="N41" s="1042"/>
      <c r="O41" s="1042"/>
      <c r="P41" s="1047"/>
      <c r="Q41" s="1045"/>
      <c r="R41" s="1005"/>
      <c r="S41" s="982"/>
      <c r="T41" s="982"/>
      <c r="U41" s="982"/>
      <c r="V41" s="982"/>
      <c r="W41" s="982"/>
    </row>
    <row r="42" spans="1:23" ht="12.75">
      <c r="B42"/>
      <c r="C42"/>
      <c r="D42"/>
      <c r="E42"/>
      <c r="F42"/>
      <c r="G42"/>
      <c r="H42"/>
      <c r="I42"/>
      <c r="J42"/>
      <c r="K42"/>
      <c r="L42"/>
      <c r="M42"/>
      <c r="N42"/>
      <c r="O42"/>
      <c r="P42"/>
      <c r="Q42"/>
      <c r="R42"/>
      <c r="S42" s="982"/>
      <c r="T42" s="982"/>
      <c r="U42" s="982"/>
      <c r="V42" s="982"/>
      <c r="W42" s="982"/>
    </row>
    <row r="43" spans="1:23">
      <c r="B43" s="994" t="s">
        <v>956</v>
      </c>
      <c r="C43" s="982"/>
      <c r="D43" s="982"/>
      <c r="E43" s="982"/>
      <c r="F43" s="982"/>
      <c r="G43" s="982"/>
      <c r="H43" s="982"/>
      <c r="I43" s="982"/>
      <c r="J43" s="982"/>
      <c r="K43" s="982"/>
      <c r="L43" s="982"/>
      <c r="M43" s="982"/>
      <c r="N43" s="982"/>
      <c r="O43" s="982"/>
      <c r="P43" s="982"/>
      <c r="Q43" s="982"/>
      <c r="R43" s="982"/>
      <c r="S43" s="982"/>
      <c r="T43" s="982"/>
      <c r="U43" s="982"/>
      <c r="V43" s="982"/>
      <c r="W43" s="982"/>
    </row>
    <row r="44" spans="1:23">
      <c r="A44" s="978" t="s">
        <v>613</v>
      </c>
      <c r="B44" s="979">
        <v>182.3</v>
      </c>
      <c r="C44" s="1008" t="s">
        <v>958</v>
      </c>
      <c r="D44" s="997" t="s">
        <v>114</v>
      </c>
      <c r="E44" s="978" t="s">
        <v>932</v>
      </c>
      <c r="F44" s="997"/>
      <c r="G44" s="997" t="s">
        <v>114</v>
      </c>
      <c r="H44" s="997"/>
      <c r="I44" s="1048"/>
      <c r="J44" s="997"/>
      <c r="K44" s="1042"/>
      <c r="L44" s="1042"/>
      <c r="M44" s="1042"/>
      <c r="N44" s="997"/>
      <c r="O44" s="997"/>
      <c r="P44" s="1047">
        <f>SUM(I44:O44)</f>
        <v>0</v>
      </c>
      <c r="Q44" s="1009"/>
      <c r="R44" s="998" t="s">
        <v>959</v>
      </c>
      <c r="S44" s="982"/>
      <c r="T44" s="982"/>
      <c r="U44" s="982"/>
      <c r="V44" s="982"/>
      <c r="W44" s="982"/>
    </row>
    <row r="45" spans="1:23">
      <c r="A45" s="978" t="s">
        <v>614</v>
      </c>
      <c r="B45" s="979">
        <v>254</v>
      </c>
      <c r="C45" s="1008" t="s">
        <v>961</v>
      </c>
      <c r="D45" s="997" t="s">
        <v>114</v>
      </c>
      <c r="E45" s="978" t="s">
        <v>932</v>
      </c>
      <c r="F45" s="997"/>
      <c r="G45" s="997" t="s">
        <v>114</v>
      </c>
      <c r="H45" s="997"/>
      <c r="I45" s="1048"/>
      <c r="J45" s="997"/>
      <c r="K45" s="1042"/>
      <c r="L45" s="1042"/>
      <c r="M45" s="1042"/>
      <c r="N45" s="997"/>
      <c r="O45" s="997"/>
      <c r="P45" s="1047">
        <f>SUM(I45:O45)</f>
        <v>0</v>
      </c>
      <c r="Q45" s="1009"/>
      <c r="R45" s="998" t="s">
        <v>959</v>
      </c>
      <c r="S45" s="982"/>
      <c r="T45" s="982"/>
      <c r="U45" s="982"/>
      <c r="V45" s="982"/>
      <c r="W45" s="982"/>
    </row>
    <row r="46" spans="1:23">
      <c r="A46" s="978" t="s">
        <v>974</v>
      </c>
      <c r="B46" s="987" t="s">
        <v>955</v>
      </c>
      <c r="C46" s="1008"/>
      <c r="D46" s="997"/>
      <c r="F46" s="997"/>
      <c r="G46" s="997"/>
      <c r="H46" s="997"/>
      <c r="I46" s="1042"/>
      <c r="J46" s="997"/>
      <c r="K46" s="1042"/>
      <c r="L46" s="1042"/>
      <c r="M46" s="1042"/>
      <c r="N46" s="997"/>
      <c r="O46" s="997"/>
      <c r="P46" s="1009"/>
      <c r="Q46" s="1009"/>
      <c r="R46" s="998"/>
      <c r="S46" s="982"/>
      <c r="T46" s="982"/>
      <c r="U46" s="982"/>
      <c r="V46" s="982"/>
      <c r="W46" s="982"/>
    </row>
    <row r="47" spans="1:23">
      <c r="C47" s="1008"/>
      <c r="D47" s="986"/>
      <c r="E47" s="986"/>
      <c r="F47" s="986"/>
      <c r="G47" s="986"/>
      <c r="H47" s="986"/>
      <c r="I47" s="986"/>
      <c r="J47" s="986"/>
      <c r="K47" s="986"/>
      <c r="L47" s="986"/>
      <c r="M47" s="986"/>
      <c r="N47" s="986"/>
      <c r="O47" s="986"/>
      <c r="P47" s="986"/>
      <c r="Q47" s="986"/>
      <c r="R47" s="1010"/>
      <c r="S47" s="982"/>
      <c r="T47" s="982"/>
      <c r="U47" s="982"/>
      <c r="V47" s="982"/>
      <c r="W47" s="982"/>
    </row>
    <row r="48" spans="1:23" ht="12.75" thickBot="1">
      <c r="A48" s="1011">
        <v>6</v>
      </c>
      <c r="B48" s="1265" t="str">
        <f>"Total For Accounting Entires (Sum of Lines "&amp;A34&amp;" through "&amp;A45&amp;")"</f>
        <v>Total For Accounting Entires (Sum of Lines 4a through 5b)</v>
      </c>
      <c r="C48" s="1265"/>
      <c r="D48" s="997"/>
      <c r="E48" s="997"/>
      <c r="F48" s="1049">
        <f>SUM(F34:F47)</f>
        <v>-10150515</v>
      </c>
      <c r="G48" s="997"/>
      <c r="H48" s="997"/>
      <c r="I48" s="1049">
        <v>0</v>
      </c>
      <c r="J48" s="1049">
        <v>-9964518</v>
      </c>
      <c r="K48" s="1050">
        <f>SUM(K34:K47)</f>
        <v>0</v>
      </c>
      <c r="L48" s="1050">
        <f>SUM(L34:L47)</f>
        <v>0</v>
      </c>
      <c r="M48" s="1049">
        <f>SUM(M34:M47)</f>
        <v>0</v>
      </c>
      <c r="N48" s="1051">
        <f>-SUM(N34:N47)</f>
        <v>0</v>
      </c>
      <c r="O48" s="1049">
        <f>-SUM(O34:O47)</f>
        <v>0</v>
      </c>
      <c r="P48" s="1050">
        <f>SUM(P34:P47)</f>
        <v>0</v>
      </c>
      <c r="Q48" s="1049">
        <f>SUM(Q34:Q47)</f>
        <v>0</v>
      </c>
      <c r="R48" s="1012"/>
      <c r="S48" s="982"/>
      <c r="T48" s="982"/>
      <c r="U48" s="982"/>
      <c r="V48" s="982"/>
      <c r="W48" s="982"/>
    </row>
    <row r="49" spans="1:23" ht="12.75" thickTop="1">
      <c r="C49" s="1008"/>
      <c r="D49" s="986"/>
      <c r="E49" s="986"/>
      <c r="F49" s="986"/>
      <c r="G49" s="986"/>
      <c r="H49" s="986"/>
      <c r="I49" s="1014"/>
      <c r="J49" s="1003"/>
      <c r="K49" s="1015"/>
      <c r="L49" s="1015"/>
      <c r="M49" s="1015"/>
      <c r="N49" s="1052" t="s">
        <v>964</v>
      </c>
      <c r="O49" s="1003"/>
      <c r="P49" s="1015"/>
      <c r="Q49" s="1016"/>
      <c r="R49" s="1012"/>
      <c r="S49" s="982"/>
      <c r="T49" s="982"/>
      <c r="U49" s="982"/>
      <c r="V49" s="982"/>
      <c r="W49" s="982"/>
    </row>
    <row r="50" spans="1:23">
      <c r="C50" s="1008"/>
      <c r="D50" s="986"/>
      <c r="E50" s="986"/>
      <c r="F50" s="986"/>
      <c r="G50" s="986"/>
      <c r="H50" s="986"/>
      <c r="I50" s="1014"/>
      <c r="J50" s="1003"/>
      <c r="K50" s="1015"/>
      <c r="L50" s="1015"/>
      <c r="M50" s="1015"/>
      <c r="N50" s="1003"/>
      <c r="O50" s="1003"/>
      <c r="P50" s="1015"/>
      <c r="Q50" s="1016"/>
      <c r="R50" s="1012"/>
      <c r="S50" s="982"/>
      <c r="T50" s="982"/>
      <c r="U50" s="982"/>
      <c r="V50" s="982"/>
      <c r="W50" s="982"/>
    </row>
    <row r="51" spans="1:23" ht="18.600000000000001" customHeight="1">
      <c r="A51" s="1262" t="s">
        <v>975</v>
      </c>
      <c r="B51" s="1262"/>
      <c r="C51" s="1262"/>
      <c r="D51" s="1262"/>
      <c r="E51" s="1262"/>
      <c r="F51" s="1262"/>
      <c r="G51" s="1262"/>
      <c r="H51" s="1262"/>
      <c r="I51" s="1262"/>
      <c r="J51" s="1262"/>
      <c r="K51" s="1015"/>
      <c r="L51" s="1015"/>
      <c r="M51" s="1015"/>
      <c r="N51" s="1003"/>
      <c r="O51" s="1003"/>
      <c r="P51" s="1015"/>
      <c r="Q51" s="1016"/>
      <c r="R51" s="1012"/>
      <c r="S51" s="982"/>
      <c r="T51" s="982"/>
      <c r="U51" s="982"/>
      <c r="V51" s="982"/>
      <c r="W51" s="982"/>
    </row>
    <row r="52" spans="1:23" ht="23.1" customHeight="1">
      <c r="A52" s="1262"/>
      <c r="B52" s="1262"/>
      <c r="C52" s="1262"/>
      <c r="D52" s="1262"/>
      <c r="E52" s="1262"/>
      <c r="F52" s="1262"/>
      <c r="G52" s="1262"/>
      <c r="H52" s="1262"/>
      <c r="I52" s="1262"/>
      <c r="J52" s="1262"/>
      <c r="K52" s="1015"/>
      <c r="L52" s="1015"/>
      <c r="M52" s="1015"/>
      <c r="N52" s="1003"/>
      <c r="O52" s="1003"/>
      <c r="P52" s="1015"/>
      <c r="Q52" s="1016"/>
      <c r="R52" s="1012"/>
      <c r="S52" s="982"/>
      <c r="T52" s="982"/>
      <c r="U52" s="982"/>
      <c r="V52" s="982"/>
      <c r="W52" s="982"/>
    </row>
    <row r="53" spans="1:23" ht="15" customHeight="1">
      <c r="C53" s="1008"/>
      <c r="D53" s="986"/>
      <c r="E53" s="986"/>
      <c r="F53" s="986"/>
      <c r="G53" s="986"/>
      <c r="H53" s="986"/>
      <c r="I53" s="1014"/>
      <c r="J53" s="1003"/>
      <c r="K53" s="1015"/>
      <c r="L53" s="1015"/>
      <c r="M53" s="1015"/>
      <c r="N53" s="1003"/>
      <c r="O53" s="1003"/>
      <c r="P53" s="1015"/>
      <c r="Q53" s="1016"/>
      <c r="R53" s="1012"/>
      <c r="S53" s="982"/>
      <c r="T53" s="982"/>
      <c r="U53" s="982"/>
      <c r="V53" s="982"/>
      <c r="W53" s="982"/>
    </row>
    <row r="54" spans="1:23">
      <c r="B54" s="978"/>
      <c r="C54" s="1008"/>
      <c r="D54" s="986"/>
      <c r="E54" s="986"/>
      <c r="F54" s="986"/>
      <c r="G54" s="986"/>
      <c r="H54" s="986"/>
      <c r="I54" s="1014"/>
      <c r="J54" s="1016"/>
      <c r="K54" s="1015"/>
      <c r="L54" s="1015"/>
      <c r="M54" s="1015"/>
      <c r="N54" s="1016"/>
      <c r="O54" s="1016"/>
      <c r="P54" s="1015"/>
      <c r="Q54" s="1016"/>
      <c r="R54" s="1012"/>
      <c r="S54" s="982"/>
      <c r="T54" s="982"/>
      <c r="U54" s="982"/>
      <c r="V54" s="982"/>
      <c r="W54" s="982"/>
    </row>
    <row r="55" spans="1:23" ht="15" customHeight="1">
      <c r="A55" s="1017" t="s">
        <v>976</v>
      </c>
      <c r="B55" s="1263" t="s">
        <v>977</v>
      </c>
      <c r="C55" s="1263"/>
      <c r="D55" s="1263"/>
      <c r="E55" s="1263"/>
      <c r="F55" s="1263"/>
      <c r="G55" s="1263"/>
      <c r="H55" s="1263"/>
      <c r="I55" s="1263"/>
      <c r="J55" s="1263"/>
      <c r="K55" s="1018"/>
      <c r="O55" s="1019"/>
      <c r="P55" s="1019"/>
      <c r="Q55" s="1019"/>
      <c r="R55" s="982"/>
    </row>
    <row r="56" spans="1:23">
      <c r="B56" s="1263"/>
      <c r="C56" s="1263"/>
      <c r="D56" s="1263"/>
      <c r="E56" s="1263"/>
      <c r="F56" s="1263"/>
      <c r="G56" s="1263"/>
      <c r="H56" s="1263"/>
      <c r="I56" s="1263"/>
      <c r="J56" s="1263"/>
      <c r="K56" s="1018"/>
      <c r="O56" s="1019"/>
      <c r="R56" s="982"/>
    </row>
    <row r="57" spans="1:23">
      <c r="B57" s="1263"/>
      <c r="C57" s="1263"/>
      <c r="D57" s="1263"/>
      <c r="E57" s="1263"/>
      <c r="F57" s="1263"/>
      <c r="G57" s="1263"/>
      <c r="H57" s="1263"/>
      <c r="I57" s="1263"/>
      <c r="J57" s="1263"/>
      <c r="K57" s="1018"/>
      <c r="R57" s="982"/>
    </row>
    <row r="58" spans="1:23">
      <c r="B58" s="1263"/>
      <c r="C58" s="1263"/>
      <c r="D58" s="1263"/>
      <c r="E58" s="1263"/>
      <c r="F58" s="1263"/>
      <c r="G58" s="1263"/>
      <c r="H58" s="1263"/>
      <c r="I58" s="1263"/>
      <c r="J58" s="1263"/>
      <c r="K58" s="1018"/>
      <c r="P58" s="1019"/>
      <c r="Q58" s="1019"/>
      <c r="R58" s="982"/>
    </row>
    <row r="59" spans="1:23">
      <c r="B59" s="1263"/>
      <c r="C59" s="1263"/>
      <c r="D59" s="1263"/>
      <c r="E59" s="1263"/>
      <c r="F59" s="1263"/>
      <c r="G59" s="1263"/>
      <c r="H59" s="1263"/>
      <c r="I59" s="1263"/>
      <c r="J59" s="1263"/>
      <c r="K59" s="1018"/>
      <c r="R59" s="982"/>
    </row>
    <row r="60" spans="1:23">
      <c r="B60" s="1263"/>
      <c r="C60" s="1263"/>
      <c r="D60" s="1263"/>
      <c r="E60" s="1263"/>
      <c r="F60" s="1263"/>
      <c r="G60" s="1263"/>
      <c r="H60" s="1263"/>
      <c r="I60" s="1263"/>
      <c r="J60" s="1263"/>
      <c r="K60" s="1018"/>
      <c r="R60" s="982"/>
    </row>
    <row r="61" spans="1:23" ht="5.0999999999999996" customHeight="1">
      <c r="B61" s="1018"/>
      <c r="C61" s="1018"/>
      <c r="D61" s="1018"/>
      <c r="E61" s="1018"/>
      <c r="F61" s="1018"/>
      <c r="G61" s="1018"/>
      <c r="H61" s="1018"/>
      <c r="I61" s="1018"/>
      <c r="J61" s="1018"/>
      <c r="K61" s="1018"/>
      <c r="R61" s="982"/>
    </row>
    <row r="62" spans="1:23" ht="12.6" customHeight="1">
      <c r="A62" s="978" t="s">
        <v>978</v>
      </c>
      <c r="B62" s="1020" t="s">
        <v>979</v>
      </c>
      <c r="C62" s="1020"/>
      <c r="D62" s="1020"/>
      <c r="E62" s="1020"/>
      <c r="F62" s="1020"/>
      <c r="G62" s="1020"/>
      <c r="H62" s="1020"/>
      <c r="I62" s="1020"/>
      <c r="J62" s="1020"/>
      <c r="K62" s="1018"/>
      <c r="R62" s="982"/>
    </row>
    <row r="63" spans="1:23" ht="12.6" customHeight="1">
      <c r="B63" s="1020"/>
      <c r="C63" s="1020"/>
      <c r="D63" s="1020"/>
      <c r="E63" s="1020"/>
      <c r="F63" s="1020"/>
      <c r="G63" s="1020"/>
      <c r="H63" s="1020"/>
      <c r="I63" s="1020"/>
      <c r="J63" s="1020"/>
      <c r="K63" s="1018"/>
      <c r="R63" s="982"/>
    </row>
    <row r="64" spans="1:23" ht="12.6" customHeight="1">
      <c r="A64" s="978" t="s">
        <v>980</v>
      </c>
      <c r="B64" s="1020" t="s">
        <v>981</v>
      </c>
      <c r="C64" s="1020"/>
      <c r="D64" s="1020"/>
      <c r="E64" s="1020"/>
      <c r="F64" s="1020"/>
      <c r="G64" s="1020"/>
      <c r="H64" s="1020"/>
      <c r="I64" s="1020"/>
      <c r="J64" s="1020"/>
      <c r="K64" s="1018"/>
      <c r="R64" s="982"/>
    </row>
    <row r="65" spans="1:18" ht="5.0999999999999996" customHeight="1">
      <c r="B65" s="1018"/>
      <c r="C65" s="1018"/>
      <c r="D65" s="1018"/>
      <c r="E65" s="1018"/>
      <c r="F65" s="1018"/>
      <c r="G65" s="1018"/>
      <c r="H65" s="1018"/>
      <c r="I65" s="1018"/>
      <c r="J65" s="1018"/>
      <c r="K65" s="1018"/>
      <c r="R65" s="982"/>
    </row>
    <row r="66" spans="1:18" ht="12.6" customHeight="1">
      <c r="A66" s="978" t="s">
        <v>982</v>
      </c>
      <c r="B66" s="1263" t="s">
        <v>983</v>
      </c>
      <c r="C66" s="1263"/>
      <c r="D66" s="1263"/>
      <c r="E66" s="1263"/>
      <c r="F66" s="1263"/>
      <c r="G66" s="1263"/>
      <c r="H66" s="1263"/>
      <c r="I66" s="1263"/>
      <c r="J66" s="1263"/>
      <c r="K66" s="1018"/>
      <c r="R66" s="982"/>
    </row>
    <row r="67" spans="1:18" ht="12.6" customHeight="1">
      <c r="B67" s="1263"/>
      <c r="C67" s="1263"/>
      <c r="D67" s="1263"/>
      <c r="E67" s="1263"/>
      <c r="F67" s="1263"/>
      <c r="G67" s="1263"/>
      <c r="H67" s="1263"/>
      <c r="I67" s="1263"/>
      <c r="J67" s="1263"/>
      <c r="K67" s="1018"/>
      <c r="R67" s="982"/>
    </row>
    <row r="68" spans="1:18" ht="5.0999999999999996" customHeight="1">
      <c r="B68" s="1018"/>
      <c r="C68" s="1018"/>
      <c r="D68" s="1018"/>
      <c r="E68" s="1018"/>
      <c r="F68" s="1018"/>
      <c r="G68" s="1018"/>
      <c r="H68" s="1018"/>
      <c r="I68" s="1018"/>
      <c r="J68" s="1018"/>
      <c r="K68" s="1018"/>
      <c r="R68" s="982"/>
    </row>
    <row r="69" spans="1:18" ht="11.45" customHeight="1">
      <c r="A69" s="978" t="s">
        <v>984</v>
      </c>
      <c r="B69" s="1262" t="s">
        <v>985</v>
      </c>
      <c r="C69" s="1262"/>
      <c r="D69" s="1262"/>
      <c r="E69" s="1262"/>
      <c r="F69" s="1262"/>
      <c r="G69" s="1262"/>
      <c r="H69" s="1262"/>
      <c r="I69" s="1262"/>
      <c r="J69" s="1262"/>
      <c r="K69" s="1018"/>
      <c r="R69" s="982"/>
    </row>
    <row r="70" spans="1:18">
      <c r="B70" s="1262"/>
      <c r="C70" s="1262"/>
      <c r="D70" s="1262"/>
      <c r="E70" s="1262"/>
      <c r="F70" s="1262"/>
      <c r="G70" s="1262"/>
      <c r="H70" s="1262"/>
      <c r="I70" s="1262"/>
      <c r="J70" s="1262"/>
      <c r="K70" s="1018"/>
      <c r="R70" s="982"/>
    </row>
    <row r="71" spans="1:18" ht="4.5" customHeight="1">
      <c r="B71" s="1011"/>
      <c r="C71" s="1018"/>
      <c r="D71" s="1018"/>
      <c r="E71" s="1018"/>
      <c r="F71" s="1018"/>
      <c r="G71" s="1018"/>
      <c r="H71" s="1018"/>
      <c r="I71" s="1018"/>
      <c r="J71" s="1018"/>
      <c r="K71" s="1018"/>
      <c r="R71" s="982"/>
    </row>
    <row r="72" spans="1:18" ht="11.45" customHeight="1">
      <c r="A72" s="1011" t="s">
        <v>986</v>
      </c>
      <c r="B72" s="1263" t="str">
        <f>"The amount of excess amortization entries shown in lines "&amp;A13&amp;" through "&amp;A22&amp;"  and "&amp;A34&amp;" through "&amp;A41&amp;" are shown as a debit or credit to the ADIT account from which it is being amortized.  The total in line "&amp;A29&amp;" and "&amp;A48&amp;" is the offset recorded to the 410/411 account and will tie to the total company and transmission functional amounts of excess or deficient ADIT amortization shown on line 119 of the cost of service."</f>
        <v>The amount of excess amortization entries shown in lines 1a through 1j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v>
      </c>
      <c r="C72" s="1263"/>
      <c r="D72" s="1263"/>
      <c r="E72" s="1263"/>
      <c r="F72" s="1263"/>
      <c r="G72" s="1263"/>
      <c r="H72" s="1263"/>
      <c r="I72" s="1263"/>
      <c r="J72" s="1018"/>
      <c r="R72" s="982"/>
    </row>
    <row r="73" spans="1:18" ht="11.45" customHeight="1">
      <c r="B73" s="1263"/>
      <c r="C73" s="1263"/>
      <c r="D73" s="1263"/>
      <c r="E73" s="1263"/>
      <c r="F73" s="1263"/>
      <c r="G73" s="1263"/>
      <c r="H73" s="1263"/>
      <c r="I73" s="1263"/>
      <c r="J73" s="1018"/>
      <c r="R73" s="982"/>
    </row>
    <row r="74" spans="1:18">
      <c r="B74" s="1263"/>
      <c r="C74" s="1263"/>
      <c r="D74" s="1263"/>
      <c r="E74" s="1263"/>
      <c r="F74" s="1263"/>
      <c r="G74" s="1263"/>
      <c r="H74" s="1263"/>
      <c r="I74" s="1263"/>
      <c r="R74" s="982"/>
    </row>
    <row r="75" spans="1:18">
      <c r="R75" s="982"/>
    </row>
    <row r="76" spans="1:18">
      <c r="R76" s="982"/>
    </row>
    <row r="81" spans="1:11">
      <c r="A81" s="1017"/>
      <c r="B81" s="1017"/>
      <c r="C81" s="1017"/>
      <c r="D81" s="1017"/>
      <c r="E81" s="1017"/>
      <c r="F81" s="1017"/>
      <c r="G81" s="1017"/>
      <c r="H81" s="1017"/>
      <c r="I81" s="1017"/>
      <c r="J81" s="1017"/>
      <c r="K81" s="1017"/>
    </row>
    <row r="82" spans="1:11">
      <c r="A82" s="1017"/>
      <c r="B82" s="1017"/>
      <c r="C82" s="1017"/>
      <c r="D82" s="1017"/>
      <c r="E82" s="1017"/>
      <c r="F82" s="1017"/>
      <c r="G82" s="1017"/>
      <c r="H82" s="1017"/>
      <c r="I82" s="1017"/>
      <c r="J82" s="1017"/>
      <c r="K82" s="1017"/>
    </row>
    <row r="83" spans="1:11">
      <c r="D83" s="1017"/>
      <c r="E83" s="1017"/>
      <c r="F83" s="1017"/>
      <c r="G83" s="1017"/>
      <c r="H83" s="1017"/>
      <c r="I83" s="1017"/>
      <c r="J83" s="1017"/>
      <c r="K83" s="1017"/>
    </row>
    <row r="84" spans="1:11">
      <c r="A84" s="1017"/>
      <c r="B84" s="1017"/>
      <c r="C84" s="1017"/>
      <c r="D84" s="1017"/>
      <c r="E84" s="1017"/>
      <c r="F84" s="1017"/>
      <c r="G84" s="1017"/>
      <c r="H84" s="1017"/>
      <c r="I84" s="1017"/>
      <c r="J84" s="1017"/>
      <c r="K84" s="1017"/>
    </row>
    <row r="85" spans="1:11">
      <c r="A85" s="1017"/>
      <c r="B85" s="1017"/>
      <c r="C85" s="1017"/>
      <c r="D85" s="1017"/>
      <c r="E85" s="1017"/>
      <c r="F85" s="1017"/>
      <c r="G85" s="1017"/>
      <c r="H85" s="1017"/>
      <c r="I85" s="1017"/>
      <c r="J85" s="1017"/>
      <c r="K85" s="1017"/>
    </row>
    <row r="86" spans="1:11">
      <c r="A86" s="1017"/>
      <c r="B86" s="1017"/>
      <c r="C86" s="1017"/>
      <c r="D86" s="1017"/>
      <c r="E86" s="1017"/>
      <c r="F86" s="1017"/>
      <c r="G86" s="1017"/>
      <c r="H86" s="1017"/>
      <c r="I86" s="1017"/>
      <c r="J86" s="1017"/>
      <c r="K86" s="1017"/>
    </row>
    <row r="87" spans="1:11">
      <c r="A87" s="1017"/>
      <c r="B87" s="1017"/>
      <c r="C87" s="1017"/>
      <c r="D87" s="1017"/>
      <c r="E87" s="1017"/>
      <c r="F87" s="1017"/>
      <c r="G87" s="1017"/>
      <c r="H87" s="1017"/>
      <c r="I87" s="1017"/>
      <c r="J87" s="1017"/>
      <c r="K87" s="1017"/>
    </row>
    <row r="88" spans="1:11">
      <c r="A88" s="1017"/>
      <c r="B88" s="1017"/>
      <c r="C88" s="1017"/>
      <c r="D88" s="1017"/>
      <c r="E88" s="1017"/>
      <c r="F88" s="1017"/>
      <c r="G88" s="1017"/>
      <c r="H88" s="1017"/>
      <c r="I88" s="1017"/>
      <c r="J88" s="1017"/>
      <c r="K88" s="1017"/>
    </row>
    <row r="89" spans="1:11">
      <c r="A89" s="1017"/>
      <c r="B89" s="1017"/>
      <c r="C89" s="1017"/>
      <c r="D89" s="1017"/>
      <c r="E89" s="1017"/>
      <c r="F89" s="1017"/>
      <c r="G89" s="1017"/>
      <c r="H89" s="1017"/>
      <c r="I89" s="1017"/>
      <c r="J89" s="1017"/>
      <c r="K89" s="1017"/>
    </row>
    <row r="90" spans="1:11">
      <c r="A90" s="1017"/>
      <c r="B90" s="1017"/>
      <c r="C90" s="1017"/>
      <c r="D90" s="1017"/>
      <c r="E90" s="1017"/>
      <c r="F90" s="1017"/>
      <c r="G90" s="1017"/>
      <c r="H90" s="1017"/>
      <c r="I90" s="1017"/>
      <c r="J90" s="1017"/>
      <c r="K90" s="1017"/>
    </row>
    <row r="91" spans="1:11">
      <c r="A91" s="1017"/>
      <c r="B91" s="1017"/>
      <c r="C91" s="1017"/>
      <c r="D91" s="1017"/>
      <c r="E91" s="1017"/>
      <c r="F91" s="1017"/>
      <c r="G91" s="1017"/>
      <c r="H91" s="1017"/>
      <c r="I91" s="1017"/>
      <c r="J91" s="1017"/>
      <c r="K91" s="1017"/>
    </row>
    <row r="98" spans="1:11">
      <c r="B98" s="1011"/>
    </row>
    <row r="99" spans="1:11">
      <c r="B99" s="978"/>
    </row>
    <row r="100" spans="1:11">
      <c r="B100" s="978"/>
    </row>
    <row r="101" spans="1:11">
      <c r="B101" s="978"/>
    </row>
    <row r="102" spans="1:11">
      <c r="B102" s="978"/>
    </row>
    <row r="103" spans="1:11">
      <c r="A103" s="1021"/>
      <c r="B103" s="1017"/>
      <c r="C103" s="1017"/>
      <c r="D103" s="1017"/>
      <c r="E103" s="1017"/>
      <c r="F103" s="1017"/>
      <c r="G103" s="1017"/>
      <c r="H103" s="1017"/>
      <c r="I103" s="1017"/>
      <c r="J103" s="1017"/>
      <c r="K103" s="1017"/>
    </row>
    <row r="104" spans="1:11">
      <c r="A104" s="1017"/>
      <c r="B104" s="1017"/>
      <c r="C104" s="1017"/>
      <c r="D104" s="1017"/>
      <c r="E104" s="1017"/>
      <c r="F104" s="1017"/>
      <c r="G104" s="1017"/>
      <c r="H104" s="1017"/>
      <c r="I104" s="1017"/>
      <c r="J104" s="1017"/>
      <c r="K104" s="1017"/>
    </row>
    <row r="105" spans="1:11">
      <c r="A105" s="1017"/>
      <c r="B105" s="1017"/>
      <c r="C105" s="1017"/>
      <c r="D105" s="1017"/>
      <c r="E105" s="1017"/>
      <c r="F105" s="1017"/>
      <c r="G105" s="1017"/>
      <c r="H105" s="1017"/>
      <c r="I105" s="1017"/>
      <c r="J105" s="1017"/>
      <c r="K105" s="1017"/>
    </row>
    <row r="106" spans="1:11">
      <c r="A106" s="1017"/>
      <c r="B106" s="1017"/>
      <c r="C106" s="1017"/>
      <c r="D106" s="1017"/>
      <c r="E106" s="1017"/>
      <c r="F106" s="1017"/>
      <c r="G106" s="1017"/>
      <c r="H106" s="1017"/>
      <c r="I106" s="1017"/>
      <c r="J106" s="1017"/>
      <c r="K106" s="1017"/>
    </row>
    <row r="107" spans="1:11">
      <c r="A107" s="1017"/>
      <c r="B107" s="1017"/>
      <c r="C107" s="1017"/>
      <c r="D107" s="1022"/>
      <c r="E107" s="1022"/>
      <c r="F107" s="1022"/>
      <c r="G107" s="1017"/>
      <c r="H107" s="1017"/>
      <c r="I107" s="1017"/>
      <c r="J107" s="1017"/>
      <c r="K107" s="1017"/>
    </row>
    <row r="108" spans="1:11">
      <c r="A108" s="1017"/>
      <c r="B108" s="1017"/>
      <c r="C108" s="1017"/>
      <c r="D108" s="1019"/>
      <c r="E108" s="1019"/>
      <c r="F108" s="1019"/>
      <c r="G108" s="1017"/>
      <c r="H108" s="1017"/>
      <c r="I108" s="1017"/>
      <c r="J108" s="1017"/>
      <c r="K108" s="1017"/>
    </row>
    <row r="109" spans="1:11">
      <c r="A109" s="1017"/>
      <c r="B109" s="1017"/>
      <c r="C109" s="1017"/>
      <c r="D109" s="1022"/>
      <c r="E109" s="1022"/>
      <c r="F109" s="1022"/>
      <c r="G109" s="1017"/>
      <c r="H109" s="1017"/>
      <c r="I109" s="1017"/>
      <c r="J109" s="1017"/>
      <c r="K109" s="1017"/>
    </row>
    <row r="110" spans="1:11">
      <c r="A110" s="1017"/>
      <c r="B110" s="1017"/>
      <c r="C110" s="1017"/>
      <c r="D110" s="1017"/>
      <c r="E110" s="1017"/>
      <c r="F110" s="1017"/>
      <c r="G110" s="1017"/>
      <c r="H110" s="1017"/>
      <c r="I110" s="1017"/>
      <c r="J110" s="1017"/>
      <c r="K110" s="1017"/>
    </row>
    <row r="111" spans="1:11">
      <c r="A111" s="1017"/>
      <c r="B111" s="1017"/>
      <c r="C111" s="1017"/>
      <c r="D111" s="1017"/>
      <c r="E111" s="1017"/>
      <c r="F111" s="1017"/>
      <c r="G111" s="1017"/>
      <c r="H111" s="1017"/>
      <c r="I111" s="1017"/>
      <c r="J111" s="1017"/>
      <c r="K111" s="1017"/>
    </row>
    <row r="112" spans="1:11">
      <c r="A112" s="1017"/>
      <c r="B112" s="1017"/>
      <c r="C112" s="1017"/>
      <c r="D112" s="1017"/>
      <c r="E112" s="1017"/>
      <c r="F112" s="1017"/>
      <c r="G112" s="1017"/>
      <c r="H112" s="1017"/>
      <c r="I112" s="1017"/>
      <c r="J112" s="1017"/>
      <c r="K112" s="1017"/>
    </row>
    <row r="113" spans="1:11">
      <c r="A113" s="1017"/>
      <c r="C113" s="1017"/>
      <c r="D113" s="1017"/>
      <c r="E113" s="1017"/>
      <c r="F113" s="1017"/>
      <c r="G113" s="1017"/>
      <c r="H113" s="1017"/>
      <c r="I113" s="1017"/>
      <c r="J113" s="1017"/>
      <c r="K113" s="1017"/>
    </row>
    <row r="114" spans="1:11">
      <c r="A114" s="1017"/>
      <c r="B114" s="1017"/>
      <c r="C114" s="1017"/>
      <c r="D114" s="1017"/>
      <c r="E114" s="1017"/>
      <c r="F114" s="1017"/>
      <c r="G114" s="1017"/>
      <c r="H114" s="1017"/>
      <c r="I114" s="1017"/>
      <c r="J114" s="1017"/>
      <c r="K114" s="1017"/>
    </row>
    <row r="115" spans="1:11">
      <c r="A115" s="1017"/>
      <c r="B115" s="1017"/>
      <c r="C115" s="1017"/>
      <c r="D115" s="1017"/>
      <c r="E115" s="1017"/>
      <c r="F115" s="1017"/>
      <c r="G115" s="1017"/>
      <c r="H115" s="1017"/>
      <c r="I115" s="1017"/>
      <c r="J115" s="1017"/>
      <c r="K115" s="1017"/>
    </row>
  </sheetData>
  <mergeCells count="17">
    <mergeCell ref="R16:R17"/>
    <mergeCell ref="B48:C48"/>
    <mergeCell ref="I9:J9"/>
    <mergeCell ref="K9:M9"/>
    <mergeCell ref="N9:O9"/>
    <mergeCell ref="P9:Q9"/>
    <mergeCell ref="P11:Q11"/>
    <mergeCell ref="R18:R19"/>
    <mergeCell ref="B29:C29"/>
    <mergeCell ref="P32:Q32"/>
    <mergeCell ref="R35:R36"/>
    <mergeCell ref="R37:R38"/>
    <mergeCell ref="A51:J52"/>
    <mergeCell ref="B55:J60"/>
    <mergeCell ref="B66:J67"/>
    <mergeCell ref="B69:J70"/>
    <mergeCell ref="B72:I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442F-EDB2-413F-BD42-2B7E1D28B2C5}">
  <sheetPr>
    <pageSetUpPr fitToPage="1"/>
  </sheetPr>
  <dimension ref="A1:Q78"/>
  <sheetViews>
    <sheetView workbookViewId="0">
      <selection activeCell="F35" sqref="F35"/>
    </sheetView>
  </sheetViews>
  <sheetFormatPr defaultColWidth="11.85546875" defaultRowHeight="12.75"/>
  <cols>
    <col min="1" max="1" width="9" style="1063" customWidth="1"/>
    <col min="2" max="2" width="15" style="1064" bestFit="1" customWidth="1"/>
    <col min="3" max="3" width="4.140625" style="1064" customWidth="1"/>
    <col min="4" max="4" width="21" style="1064" bestFit="1" customWidth="1"/>
    <col min="5" max="5" width="29.7109375" style="1064" bestFit="1" customWidth="1"/>
    <col min="6" max="6" width="21.42578125" style="1064" customWidth="1"/>
    <col min="7" max="7" width="4.28515625" style="1064" customWidth="1"/>
    <col min="8" max="8" width="19" style="1064" customWidth="1"/>
    <col min="9" max="9" width="5" style="1064" customWidth="1"/>
    <col min="10" max="10" width="19.85546875" style="1064" customWidth="1"/>
    <col min="11" max="11" width="3.5703125" style="1064" customWidth="1"/>
    <col min="12" max="12" width="19.7109375" style="1064" customWidth="1"/>
    <col min="13" max="13" width="16" style="1064" customWidth="1"/>
    <col min="14" max="14" width="19.140625" style="1064" bestFit="1" customWidth="1"/>
    <col min="15" max="15" width="16.5703125" style="1067" bestFit="1" customWidth="1"/>
    <col min="16" max="16" width="15.28515625" style="1064" bestFit="1" customWidth="1"/>
    <col min="17" max="16384" width="11.85546875" style="1064"/>
  </cols>
  <sheetData>
    <row r="1" spans="1:17" ht="15">
      <c r="A1" s="1063" t="s">
        <v>1029</v>
      </c>
      <c r="L1" s="1065"/>
      <c r="N1" s="1066" t="s">
        <v>1030</v>
      </c>
    </row>
    <row r="2" spans="1:17">
      <c r="A2" s="1063" t="s">
        <v>1031</v>
      </c>
      <c r="L2" s="1068"/>
      <c r="N2" s="1069" t="s">
        <v>1032</v>
      </c>
    </row>
    <row r="3" spans="1:17">
      <c r="A3" s="1063" t="s">
        <v>1033</v>
      </c>
      <c r="N3" s="1069" t="s">
        <v>1034</v>
      </c>
    </row>
    <row r="4" spans="1:17">
      <c r="A4" s="1063" t="s">
        <v>1035</v>
      </c>
      <c r="N4" s="1066" t="s">
        <v>1036</v>
      </c>
    </row>
    <row r="5" spans="1:17">
      <c r="A5" s="1063" t="s">
        <v>1037</v>
      </c>
    </row>
    <row r="6" spans="1:17">
      <c r="A6" s="1063" t="s">
        <v>907</v>
      </c>
    </row>
    <row r="7" spans="1:17">
      <c r="A7" s="1273" t="s">
        <v>1038</v>
      </c>
      <c r="B7" s="1273"/>
      <c r="C7" s="1273"/>
      <c r="D7" s="1273"/>
      <c r="E7" s="1273"/>
      <c r="F7" s="1273"/>
      <c r="G7" s="1273"/>
      <c r="H7" s="1273"/>
      <c r="I7" s="1273"/>
      <c r="J7" s="1273"/>
      <c r="K7" s="1273"/>
      <c r="L7" s="1273"/>
      <c r="M7" s="1273"/>
      <c r="N7" s="1273"/>
    </row>
    <row r="9" spans="1:17">
      <c r="A9" s="1070" t="s">
        <v>148</v>
      </c>
      <c r="B9" s="1071" t="s">
        <v>149</v>
      </c>
      <c r="C9" s="1071"/>
      <c r="D9" s="1071" t="s">
        <v>150</v>
      </c>
      <c r="E9" s="1071" t="s">
        <v>151</v>
      </c>
      <c r="F9" s="1071" t="s">
        <v>152</v>
      </c>
      <c r="G9" s="1071"/>
      <c r="H9" s="1071" t="s">
        <v>1039</v>
      </c>
      <c r="I9" s="1071"/>
      <c r="J9" s="1071" t="s">
        <v>154</v>
      </c>
      <c r="K9" s="1071"/>
      <c r="L9" s="1071" t="s">
        <v>1040</v>
      </c>
      <c r="M9" s="1071" t="s">
        <v>156</v>
      </c>
      <c r="N9" s="1071" t="s">
        <v>1041</v>
      </c>
      <c r="Q9" s="1274"/>
    </row>
    <row r="10" spans="1:17">
      <c r="F10" s="1072"/>
      <c r="G10" s="1072"/>
      <c r="H10" s="1072"/>
      <c r="Q10" s="1274"/>
    </row>
    <row r="11" spans="1:17" ht="38.25">
      <c r="A11" s="1063" t="s">
        <v>1042</v>
      </c>
      <c r="B11" s="1064" t="s">
        <v>1043</v>
      </c>
      <c r="D11" s="1073" t="s">
        <v>1044</v>
      </c>
      <c r="E11" s="1071" t="s">
        <v>926</v>
      </c>
      <c r="F11" s="1073" t="s">
        <v>1045</v>
      </c>
      <c r="G11" s="1073"/>
      <c r="H11" s="1073" t="s">
        <v>1046</v>
      </c>
      <c r="I11" s="1074"/>
      <c r="J11" s="1073" t="s">
        <v>1047</v>
      </c>
      <c r="L11" s="1073" t="s">
        <v>1048</v>
      </c>
      <c r="M11" s="1073" t="s">
        <v>1049</v>
      </c>
      <c r="N11" s="1073" t="s">
        <v>1050</v>
      </c>
    </row>
    <row r="12" spans="1:17" ht="15">
      <c r="D12" s="1073"/>
      <c r="E12" s="1071"/>
      <c r="F12" s="1073"/>
      <c r="G12" s="1073"/>
      <c r="H12" s="1073"/>
      <c r="I12" s="1074"/>
      <c r="J12" s="1073"/>
      <c r="L12" s="1073"/>
      <c r="N12" s="1072"/>
    </row>
    <row r="13" spans="1:17" ht="15">
      <c r="A13" s="1075" t="s">
        <v>1051</v>
      </c>
      <c r="D13" s="1073"/>
      <c r="E13" s="1071"/>
      <c r="F13" s="1073"/>
      <c r="G13" s="1073"/>
      <c r="H13" s="1073"/>
      <c r="I13" s="1074"/>
      <c r="J13" s="1073"/>
      <c r="L13" s="1073"/>
      <c r="N13" s="1072"/>
    </row>
    <row r="14" spans="1:17">
      <c r="D14" s="1067"/>
      <c r="E14" s="1067"/>
      <c r="F14" s="1076"/>
      <c r="G14" s="1076"/>
      <c r="H14" s="1076"/>
      <c r="I14" s="1076"/>
      <c r="J14" s="1076"/>
      <c r="K14" s="1076"/>
      <c r="L14" s="1076"/>
      <c r="M14" s="1067"/>
      <c r="N14" s="1067"/>
    </row>
    <row r="15" spans="1:17" ht="12.6" customHeight="1">
      <c r="A15" s="1077">
        <v>1</v>
      </c>
      <c r="B15" s="1078" t="s">
        <v>1052</v>
      </c>
      <c r="D15" s="1079">
        <v>299354118</v>
      </c>
      <c r="E15" s="1067" t="s">
        <v>1053</v>
      </c>
      <c r="N15" s="1067"/>
    </row>
    <row r="16" spans="1:17" ht="15">
      <c r="A16" s="1077">
        <f>+A15+1</f>
        <v>2</v>
      </c>
      <c r="B16" s="1078"/>
      <c r="D16" s="1080">
        <v>91360.11</v>
      </c>
      <c r="E16" s="1067" t="s">
        <v>1054</v>
      </c>
      <c r="F16" s="1074"/>
      <c r="G16" s="1074"/>
      <c r="H16" s="1081"/>
      <c r="I16" s="1074"/>
      <c r="J16" s="1074"/>
      <c r="K16" s="1074"/>
      <c r="L16" s="1074"/>
      <c r="M16" s="1067"/>
      <c r="N16" s="1067"/>
    </row>
    <row r="17" spans="1:16">
      <c r="A17" s="1077">
        <f>++A16+1</f>
        <v>3</v>
      </c>
      <c r="B17" s="1078" t="s">
        <v>1055</v>
      </c>
      <c r="D17" s="1079">
        <f>+D15-D16</f>
        <v>299262757.88999999</v>
      </c>
      <c r="F17" s="1076">
        <v>114925970.95</v>
      </c>
      <c r="G17" s="1076"/>
      <c r="H17" s="1082">
        <f>+F17/D17</f>
        <v>0.38403031423055767</v>
      </c>
      <c r="I17" s="1083"/>
      <c r="J17" s="1076">
        <f>-F17</f>
        <v>-114925970.95</v>
      </c>
      <c r="K17" s="1076"/>
      <c r="L17" s="1076">
        <f>+F17+J17</f>
        <v>0</v>
      </c>
      <c r="M17" s="1067"/>
      <c r="N17" s="1067">
        <f>+D17-L17</f>
        <v>299262757.88999999</v>
      </c>
    </row>
    <row r="18" spans="1:16">
      <c r="A18" s="1077"/>
      <c r="B18" s="1078"/>
      <c r="D18" s="1067"/>
      <c r="E18" s="1067"/>
      <c r="F18" s="1084"/>
      <c r="G18" s="1084"/>
      <c r="H18" s="1082"/>
      <c r="I18" s="1083"/>
      <c r="J18" s="1076"/>
      <c r="K18" s="1076"/>
      <c r="L18" s="1076"/>
      <c r="M18" s="1067"/>
      <c r="N18" s="1067"/>
    </row>
    <row r="19" spans="1:16">
      <c r="A19" s="1077">
        <f>+A17+1</f>
        <v>4</v>
      </c>
      <c r="B19" s="1078" t="s">
        <v>1056</v>
      </c>
      <c r="D19" s="1067">
        <v>-289979890</v>
      </c>
      <c r="E19" s="1067" t="s">
        <v>1057</v>
      </c>
      <c r="F19" s="1076">
        <v>-115991956.2</v>
      </c>
      <c r="G19" s="1076"/>
      <c r="H19" s="1082">
        <f>+F19/D19</f>
        <v>0.40000000068970298</v>
      </c>
      <c r="I19" s="1275"/>
      <c r="J19" s="1076"/>
      <c r="K19" s="1076"/>
      <c r="L19" s="1076">
        <f>+F19+J19</f>
        <v>-115991956.2</v>
      </c>
      <c r="M19" s="1067" t="s">
        <v>935</v>
      </c>
      <c r="N19" s="1067">
        <f>+D19-L19</f>
        <v>-173987933.80000001</v>
      </c>
    </row>
    <row r="20" spans="1:16">
      <c r="A20" s="1077"/>
      <c r="B20" s="1078"/>
      <c r="D20" s="1067"/>
      <c r="E20" s="1067"/>
      <c r="F20" s="1076"/>
      <c r="G20" s="1076"/>
      <c r="H20" s="1085"/>
      <c r="I20" s="1275"/>
      <c r="J20" s="1076"/>
      <c r="K20" s="1076"/>
      <c r="L20" s="1076"/>
      <c r="M20" s="1067"/>
      <c r="N20" s="1067"/>
    </row>
    <row r="21" spans="1:16">
      <c r="A21" s="1077">
        <f>+A19+1</f>
        <v>5</v>
      </c>
      <c r="B21" s="1078" t="s">
        <v>1058</v>
      </c>
      <c r="D21" s="1067">
        <v>-1982378027</v>
      </c>
      <c r="E21" s="1067" t="s">
        <v>1059</v>
      </c>
      <c r="F21" s="1076">
        <v>-785862991.44999969</v>
      </c>
      <c r="G21" s="1076"/>
      <c r="H21" s="1082">
        <f>+F21/D21</f>
        <v>0.39642438563510152</v>
      </c>
      <c r="I21" s="1084"/>
      <c r="J21" s="1076">
        <v>-13641125.550000001</v>
      </c>
      <c r="K21" s="1076"/>
      <c r="L21" s="1076">
        <f>+F21+J21-L22</f>
        <v>-568878716.31999969</v>
      </c>
      <c r="M21" s="1067" t="s">
        <v>1060</v>
      </c>
      <c r="N21" s="1067">
        <f>+D21-L21-L22</f>
        <v>-1182873910.0000002</v>
      </c>
    </row>
    <row r="22" spans="1:16">
      <c r="A22" s="1077"/>
      <c r="B22" s="1078"/>
      <c r="D22" s="1067"/>
      <c r="E22" s="1067"/>
      <c r="F22" s="1076"/>
      <c r="G22" s="1076"/>
      <c r="H22" s="1085"/>
      <c r="I22" s="1076"/>
      <c r="J22" s="1076"/>
      <c r="K22" s="1076"/>
      <c r="L22" s="1076">
        <v>-230625400.68000001</v>
      </c>
      <c r="M22" s="1067" t="s">
        <v>1061</v>
      </c>
      <c r="N22" s="1067"/>
    </row>
    <row r="23" spans="1:16">
      <c r="A23" s="1077">
        <f>+A21+1</f>
        <v>6</v>
      </c>
      <c r="B23" s="1078" t="s">
        <v>1062</v>
      </c>
      <c r="D23" s="1067">
        <v>-426174211</v>
      </c>
      <c r="E23" s="1067" t="s">
        <v>1063</v>
      </c>
      <c r="H23" s="1086"/>
      <c r="N23" s="1067"/>
    </row>
    <row r="24" spans="1:16" ht="15">
      <c r="A24" s="1077">
        <f>+A23+1</f>
        <v>7</v>
      </c>
      <c r="B24" s="1078"/>
      <c r="D24" s="1087">
        <f>-118065681-12508624+65067609-4597370</f>
        <v>-70104066</v>
      </c>
      <c r="E24" s="1067" t="s">
        <v>1064</v>
      </c>
      <c r="F24" s="1074"/>
      <c r="G24" s="1074"/>
      <c r="H24" s="1088"/>
      <c r="I24" s="1089"/>
      <c r="J24" s="1076"/>
      <c r="K24" s="1076"/>
      <c r="L24" s="1076"/>
      <c r="M24" s="1067"/>
      <c r="N24" s="1067"/>
    </row>
    <row r="25" spans="1:16">
      <c r="A25" s="1077">
        <f>++A24+1</f>
        <v>8</v>
      </c>
      <c r="B25" s="1078" t="s">
        <v>1065</v>
      </c>
      <c r="D25" s="1067">
        <f>+D23-D24</f>
        <v>-356070145</v>
      </c>
      <c r="F25" s="1076">
        <v>-141371168.37999997</v>
      </c>
      <c r="G25" s="1076"/>
      <c r="H25" s="1082">
        <f>+F25/D25</f>
        <v>0.39703179377759956</v>
      </c>
      <c r="I25" s="1089"/>
      <c r="J25" s="1076">
        <f>-J17-J21</f>
        <v>128567096.5</v>
      </c>
      <c r="K25" s="1076"/>
      <c r="L25" s="1076">
        <f>+F25+J25</f>
        <v>-12804071.879999965</v>
      </c>
      <c r="M25" s="1067" t="s">
        <v>944</v>
      </c>
      <c r="N25" s="1067">
        <f>+D25-L25</f>
        <v>-343266073.12</v>
      </c>
    </row>
    <row r="26" spans="1:16">
      <c r="A26" s="1077"/>
      <c r="E26" s="1067"/>
      <c r="F26" s="1076"/>
      <c r="G26" s="1076"/>
      <c r="H26" s="1085"/>
      <c r="I26" s="1090"/>
      <c r="J26" s="1076"/>
      <c r="K26" s="1076"/>
      <c r="L26" s="1076"/>
      <c r="M26" s="1067"/>
      <c r="N26" s="1067"/>
    </row>
    <row r="27" spans="1:16">
      <c r="A27" s="1077">
        <f>+A25+1</f>
        <v>9</v>
      </c>
      <c r="B27" s="1064" t="s">
        <v>118</v>
      </c>
      <c r="D27" s="1091">
        <f>+D17+D19+D21+D25</f>
        <v>-2329165304.1100001</v>
      </c>
      <c r="E27" s="1067" t="s">
        <v>1066</v>
      </c>
      <c r="F27" s="1092">
        <f>SUM(F16:F25)</f>
        <v>-928300145.07999969</v>
      </c>
      <c r="G27" s="1093"/>
      <c r="H27" s="1094"/>
      <c r="J27" s="1092">
        <f>SUM(J16:J25)</f>
        <v>0</v>
      </c>
      <c r="K27" s="1076"/>
      <c r="L27" s="1092">
        <f>SUM(L16:L25)</f>
        <v>-928300145.0799998</v>
      </c>
      <c r="M27" s="1067"/>
      <c r="N27" s="1092">
        <f>SUM(N16:N25)</f>
        <v>-1400865159.0300002</v>
      </c>
    </row>
    <row r="28" spans="1:16">
      <c r="A28" s="1077"/>
      <c r="D28" s="1067"/>
      <c r="E28" s="1095"/>
      <c r="F28" s="1084"/>
      <c r="G28" s="1084"/>
      <c r="H28" s="1082"/>
      <c r="I28" s="1076"/>
      <c r="J28" s="1076"/>
      <c r="K28" s="1076"/>
      <c r="L28" s="1076"/>
      <c r="M28" s="1067"/>
      <c r="N28" s="1067"/>
    </row>
    <row r="29" spans="1:16">
      <c r="A29" s="1096" t="s">
        <v>1067</v>
      </c>
      <c r="D29" s="1067"/>
      <c r="E29" s="1067"/>
      <c r="F29" s="1084"/>
      <c r="G29" s="1084"/>
      <c r="H29" s="1082"/>
      <c r="I29" s="1084"/>
      <c r="J29" s="1076"/>
      <c r="K29" s="1076"/>
      <c r="L29" s="1076"/>
      <c r="M29" s="1067"/>
      <c r="N29" s="1067"/>
      <c r="P29" s="1067"/>
    </row>
    <row r="30" spans="1:16" ht="15">
      <c r="A30" s="1077"/>
      <c r="F30" s="1090"/>
      <c r="G30" s="1090"/>
      <c r="H30" s="1082"/>
      <c r="J30" s="1074"/>
      <c r="K30" s="1076"/>
      <c r="L30" s="1076"/>
      <c r="N30" s="1067"/>
      <c r="P30" s="1067"/>
    </row>
    <row r="31" spans="1:16">
      <c r="A31" s="1077">
        <f>+A27+1</f>
        <v>10</v>
      </c>
      <c r="B31" s="1078" t="s">
        <v>1055</v>
      </c>
      <c r="D31" s="1067">
        <v>64030741.600000001</v>
      </c>
      <c r="E31" s="1078" t="s">
        <v>630</v>
      </c>
      <c r="F31" s="1076">
        <v>25564247.969999999</v>
      </c>
      <c r="G31" s="1076"/>
      <c r="H31" s="1082">
        <f>+F31/D31</f>
        <v>0.39924959997652126</v>
      </c>
      <c r="I31" s="1090"/>
      <c r="J31" s="1076">
        <f>-F31</f>
        <v>-25564247.969999999</v>
      </c>
      <c r="K31" s="1076"/>
      <c r="L31" s="1076">
        <f>+F31+J31</f>
        <v>0</v>
      </c>
      <c r="N31" s="1067">
        <f>+D31-L31</f>
        <v>64030741.600000001</v>
      </c>
      <c r="P31" s="1067"/>
    </row>
    <row r="32" spans="1:16">
      <c r="A32" s="1077"/>
      <c r="B32" s="1078"/>
      <c r="D32" s="1067"/>
      <c r="E32" s="1067"/>
      <c r="F32" s="1084"/>
      <c r="G32" s="1084"/>
      <c r="H32" s="1082"/>
      <c r="I32" s="1084"/>
      <c r="J32" s="1076"/>
      <c r="K32" s="1076"/>
      <c r="L32" s="1076"/>
      <c r="N32" s="1067"/>
      <c r="O32" s="1064"/>
      <c r="P32" s="1067"/>
    </row>
    <row r="33" spans="1:16">
      <c r="A33" s="1077">
        <f>+A31+1</f>
        <v>11</v>
      </c>
      <c r="B33" s="1078" t="s">
        <v>1058</v>
      </c>
      <c r="D33" s="1067">
        <v>-532673985.5</v>
      </c>
      <c r="E33" s="1078" t="s">
        <v>630</v>
      </c>
      <c r="F33" s="1076">
        <v>-211738348.20000005</v>
      </c>
      <c r="G33" s="1076"/>
      <c r="H33" s="1082">
        <f>+F33/D33</f>
        <v>0.39750082407581749</v>
      </c>
      <c r="I33" s="1084"/>
      <c r="J33" s="1076">
        <v>-3524424.8</v>
      </c>
      <c r="K33" s="1076"/>
      <c r="L33" s="1076">
        <f>+F33+J33-L34</f>
        <v>-185402169.00000006</v>
      </c>
      <c r="M33" s="1064" t="s">
        <v>935</v>
      </c>
      <c r="N33" s="1067">
        <f>+D33-L33-L34</f>
        <v>-317411212.49999994</v>
      </c>
      <c r="O33" s="1064"/>
      <c r="P33" s="1097"/>
    </row>
    <row r="34" spans="1:16">
      <c r="A34" s="1077"/>
      <c r="B34" s="1078"/>
      <c r="D34" s="1067"/>
      <c r="E34" s="1078"/>
      <c r="F34" s="1076"/>
      <c r="G34" s="1076"/>
      <c r="H34" s="1082"/>
      <c r="I34" s="1084"/>
      <c r="J34" s="1076"/>
      <c r="K34" s="1076"/>
      <c r="L34" s="1076">
        <v>-29860604</v>
      </c>
      <c r="M34" s="1064" t="s">
        <v>944</v>
      </c>
      <c r="N34" s="1067"/>
      <c r="O34" s="1064"/>
      <c r="P34" s="1097"/>
    </row>
    <row r="35" spans="1:16">
      <c r="A35" s="1077"/>
      <c r="B35" s="1078"/>
      <c r="D35" s="1067"/>
      <c r="E35" s="1067"/>
      <c r="H35" s="1086"/>
      <c r="I35" s="1098"/>
      <c r="J35" s="1076"/>
      <c r="K35" s="1076"/>
      <c r="L35" s="1076"/>
      <c r="N35" s="1067"/>
      <c r="O35" s="1064"/>
      <c r="P35" s="1067"/>
    </row>
    <row r="36" spans="1:16">
      <c r="A36" s="1077">
        <f>+A33+1</f>
        <v>12</v>
      </c>
      <c r="B36" s="1078" t="s">
        <v>1065</v>
      </c>
      <c r="D36" s="1099">
        <v>-27241044.940000001</v>
      </c>
      <c r="E36" s="1078" t="s">
        <v>630</v>
      </c>
      <c r="F36" s="1076">
        <v>-11031930.069999998</v>
      </c>
      <c r="G36" s="1076"/>
      <c r="H36" s="1082">
        <f>+F36/D36</f>
        <v>0.40497455564933249</v>
      </c>
      <c r="I36" s="1084"/>
      <c r="J36" s="1076">
        <f>-J31-J33</f>
        <v>29088672.77</v>
      </c>
      <c r="K36" s="1076"/>
      <c r="L36" s="1076">
        <f>+F36+J36</f>
        <v>18056742.700000003</v>
      </c>
      <c r="M36" s="1064" t="s">
        <v>944</v>
      </c>
      <c r="N36" s="1067">
        <f>+D36-L36</f>
        <v>-45297787.640000001</v>
      </c>
      <c r="O36" s="1064"/>
      <c r="P36" s="1067"/>
    </row>
    <row r="37" spans="1:16">
      <c r="A37" s="1077"/>
      <c r="D37" s="1099"/>
      <c r="E37" s="1067"/>
      <c r="F37" s="1084"/>
      <c r="G37" s="1084"/>
      <c r="H37" s="1082"/>
      <c r="I37" s="1084"/>
      <c r="J37" s="1076"/>
      <c r="K37" s="1076"/>
      <c r="L37" s="1076"/>
      <c r="N37" s="1067"/>
      <c r="O37" s="1064"/>
      <c r="P37" s="1067"/>
    </row>
    <row r="38" spans="1:16">
      <c r="A38" s="1077">
        <f>+A36+1</f>
        <v>13</v>
      </c>
      <c r="B38" s="1064" t="s">
        <v>118</v>
      </c>
      <c r="D38" s="1100">
        <f>+D36+D33+D31</f>
        <v>-495884288.84000003</v>
      </c>
      <c r="E38" s="1067" t="s">
        <v>1068</v>
      </c>
      <c r="F38" s="1092">
        <f>SUM(F31:F36)</f>
        <v>-197206030.30000004</v>
      </c>
      <c r="G38" s="1093"/>
      <c r="H38" s="1101"/>
      <c r="J38" s="1092">
        <f>SUM(J31:J36)</f>
        <v>0</v>
      </c>
      <c r="K38" s="1076"/>
      <c r="L38" s="1092">
        <f>SUM(L31:L36)</f>
        <v>-197206030.30000007</v>
      </c>
      <c r="N38" s="1092">
        <f>SUM(N31:N36)</f>
        <v>-298678258.53999996</v>
      </c>
      <c r="O38" s="1064"/>
      <c r="P38" s="1067"/>
    </row>
    <row r="39" spans="1:16">
      <c r="A39" s="1077"/>
      <c r="D39" s="1099"/>
      <c r="E39" s="1067"/>
      <c r="F39" s="1093"/>
      <c r="G39" s="1093"/>
      <c r="H39" s="1101"/>
      <c r="J39" s="1093"/>
      <c r="K39" s="1076"/>
      <c r="L39" s="1093"/>
      <c r="N39" s="1067"/>
      <c r="O39" s="1064"/>
      <c r="P39" s="1067"/>
    </row>
    <row r="40" spans="1:16">
      <c r="A40" s="1077"/>
      <c r="D40" s="1099"/>
      <c r="E40" s="1067"/>
      <c r="F40" s="1093"/>
      <c r="G40" s="1093"/>
      <c r="H40" s="1101"/>
      <c r="J40" s="1093"/>
      <c r="K40" s="1076"/>
      <c r="L40" s="1093"/>
      <c r="N40" s="1067"/>
      <c r="O40" s="1064"/>
      <c r="P40" s="1067"/>
    </row>
    <row r="41" spans="1:16">
      <c r="A41" s="1271" t="s">
        <v>1069</v>
      </c>
      <c r="B41" s="1271"/>
      <c r="C41" s="1271"/>
      <c r="D41" s="1271"/>
      <c r="E41" s="1271"/>
      <c r="F41" s="1271"/>
      <c r="G41" s="1271"/>
      <c r="H41" s="1271"/>
      <c r="N41" s="1067"/>
      <c r="O41" s="1064"/>
      <c r="P41" s="1067"/>
    </row>
    <row r="42" spans="1:16">
      <c r="A42" s="1271"/>
      <c r="B42" s="1271"/>
      <c r="C42" s="1271"/>
      <c r="D42" s="1271"/>
      <c r="E42" s="1271"/>
      <c r="F42" s="1271"/>
      <c r="G42" s="1271"/>
      <c r="H42" s="1271"/>
      <c r="N42" s="1067"/>
      <c r="O42" s="1064"/>
      <c r="P42" s="1067"/>
    </row>
    <row r="43" spans="1:16">
      <c r="A43" s="1271"/>
      <c r="B43" s="1271"/>
      <c r="C43" s="1271"/>
      <c r="D43" s="1271"/>
      <c r="E43" s="1271"/>
      <c r="F43" s="1271"/>
      <c r="G43" s="1271"/>
      <c r="H43" s="1271"/>
      <c r="N43" s="1067"/>
      <c r="O43" s="1064"/>
      <c r="P43" s="1067"/>
    </row>
    <row r="44" spans="1:16">
      <c r="A44" s="1271"/>
      <c r="B44" s="1271"/>
      <c r="C44" s="1271"/>
      <c r="D44" s="1271"/>
      <c r="E44" s="1271"/>
      <c r="F44" s="1271"/>
      <c r="G44" s="1271"/>
      <c r="H44" s="1271"/>
      <c r="N44" s="1067"/>
      <c r="O44" s="1064"/>
      <c r="P44" s="1067"/>
    </row>
    <row r="45" spans="1:16">
      <c r="A45" s="1077"/>
      <c r="N45" s="1067"/>
      <c r="O45" s="1064"/>
      <c r="P45" s="1067"/>
    </row>
    <row r="46" spans="1:16">
      <c r="A46" s="1063" t="s">
        <v>1070</v>
      </c>
      <c r="B46" s="1271" t="s">
        <v>1071</v>
      </c>
      <c r="C46" s="1271"/>
      <c r="D46" s="1271"/>
      <c r="E46" s="1271"/>
      <c r="F46" s="1271"/>
      <c r="G46" s="1271"/>
      <c r="H46" s="1271"/>
      <c r="N46" s="1067"/>
      <c r="O46" s="1064"/>
      <c r="P46" s="1067"/>
    </row>
    <row r="47" spans="1:16">
      <c r="B47" s="1271"/>
      <c r="C47" s="1271"/>
      <c r="D47" s="1271"/>
      <c r="E47" s="1271"/>
      <c r="F47" s="1271"/>
      <c r="G47" s="1271"/>
      <c r="H47" s="1271"/>
      <c r="N47" s="1067"/>
      <c r="O47" s="1064"/>
      <c r="P47" s="1067"/>
    </row>
    <row r="48" spans="1:16">
      <c r="B48" s="1271"/>
      <c r="C48" s="1271"/>
      <c r="D48" s="1271"/>
      <c r="E48" s="1271"/>
      <c r="F48" s="1271"/>
      <c r="G48" s="1271"/>
      <c r="H48" s="1271"/>
      <c r="N48" s="1067"/>
      <c r="O48" s="1064"/>
      <c r="P48" s="1067"/>
    </row>
    <row r="49" spans="1:14" ht="15">
      <c r="A49" s="1064"/>
      <c r="I49" s="1074"/>
      <c r="J49" s="1067"/>
      <c r="K49" s="1067"/>
      <c r="L49" s="1067"/>
      <c r="M49" s="1067"/>
      <c r="N49" s="1067"/>
    </row>
    <row r="50" spans="1:14" ht="15.6" customHeight="1">
      <c r="A50" s="1063" t="s">
        <v>1072</v>
      </c>
      <c r="B50" s="1271" t="s">
        <v>1073</v>
      </c>
      <c r="C50" s="1271"/>
      <c r="D50" s="1271"/>
      <c r="E50" s="1271"/>
      <c r="F50" s="1271"/>
      <c r="G50" s="1271"/>
      <c r="H50" s="1271"/>
      <c r="J50" s="1067"/>
      <c r="K50" s="1067"/>
      <c r="L50" s="1067"/>
      <c r="M50" s="1067"/>
      <c r="N50" s="1067"/>
    </row>
    <row r="51" spans="1:14" ht="12.6" customHeight="1">
      <c r="B51" s="1271"/>
      <c r="C51" s="1271"/>
      <c r="D51" s="1271"/>
      <c r="E51" s="1271"/>
      <c r="F51" s="1271"/>
      <c r="G51" s="1271"/>
      <c r="H51" s="1271"/>
      <c r="J51" s="1067"/>
      <c r="K51" s="1067"/>
      <c r="L51" s="1067"/>
      <c r="M51" s="1067"/>
      <c r="N51" s="1067"/>
    </row>
    <row r="52" spans="1:14" ht="12.6" customHeight="1">
      <c r="A52" s="1064"/>
      <c r="J52" s="1067"/>
      <c r="K52" s="1067"/>
      <c r="L52" s="1067"/>
      <c r="M52" s="1067"/>
      <c r="N52" s="1067"/>
    </row>
    <row r="53" spans="1:14" ht="12.6" customHeight="1">
      <c r="A53" s="1063" t="s">
        <v>1074</v>
      </c>
      <c r="B53" s="1271" t="s">
        <v>1075</v>
      </c>
      <c r="C53" s="1271"/>
      <c r="D53" s="1271"/>
      <c r="E53" s="1271"/>
      <c r="F53" s="1271"/>
      <c r="G53" s="1271"/>
      <c r="H53" s="1271"/>
      <c r="I53" s="1271"/>
      <c r="J53" s="1067"/>
      <c r="K53" s="1067"/>
      <c r="L53" s="1067"/>
      <c r="M53" s="1067"/>
      <c r="N53" s="1067"/>
    </row>
    <row r="54" spans="1:14" ht="15">
      <c r="A54" s="1102"/>
      <c r="B54" s="1271"/>
      <c r="C54" s="1271"/>
      <c r="D54" s="1271"/>
      <c r="E54" s="1271"/>
      <c r="F54" s="1271"/>
      <c r="G54" s="1271"/>
      <c r="H54" s="1271"/>
      <c r="I54" s="1271"/>
      <c r="J54" s="1067"/>
      <c r="K54" s="1067"/>
      <c r="L54" s="1067"/>
      <c r="M54" s="1067"/>
      <c r="N54" s="1067"/>
    </row>
    <row r="55" spans="1:14" ht="12.6" customHeight="1">
      <c r="A55" s="1064"/>
      <c r="J55" s="1067"/>
      <c r="K55" s="1067"/>
      <c r="L55" s="1067"/>
      <c r="M55" s="1067"/>
      <c r="N55" s="1067"/>
    </row>
    <row r="56" spans="1:14">
      <c r="A56" s="1064" t="s">
        <v>1076</v>
      </c>
      <c r="B56" s="1272" t="s">
        <v>1077</v>
      </c>
      <c r="C56" s="1272"/>
      <c r="D56" s="1272"/>
      <c r="E56" s="1272"/>
      <c r="F56" s="1272"/>
      <c r="J56" s="1067"/>
      <c r="K56" s="1067"/>
      <c r="L56" s="1067"/>
      <c r="M56" s="1067"/>
      <c r="N56" s="1067"/>
    </row>
    <row r="57" spans="1:14">
      <c r="B57" s="1272"/>
      <c r="C57" s="1272"/>
      <c r="D57" s="1272"/>
      <c r="E57" s="1272"/>
      <c r="F57" s="1272"/>
      <c r="J57" s="1067"/>
      <c r="K57" s="1067"/>
      <c r="L57" s="1067"/>
      <c r="M57" s="1067"/>
      <c r="N57" s="1067"/>
    </row>
    <row r="58" spans="1:14">
      <c r="A58" s="1064"/>
      <c r="J58" s="1067"/>
      <c r="K58" s="1067"/>
      <c r="L58" s="1067"/>
      <c r="M58" s="1067"/>
      <c r="N58" s="1067"/>
    </row>
    <row r="59" spans="1:14">
      <c r="A59" s="1064"/>
      <c r="J59" s="1067"/>
      <c r="K59" s="1067"/>
      <c r="L59" s="1067"/>
      <c r="M59" s="1067"/>
      <c r="N59" s="1067"/>
    </row>
    <row r="60" spans="1:14">
      <c r="E60" s="1103"/>
      <c r="I60" s="1067"/>
      <c r="J60" s="1067"/>
      <c r="K60" s="1067"/>
      <c r="L60" s="1067"/>
    </row>
    <row r="61" spans="1:14">
      <c r="G61" s="1104"/>
      <c r="H61" s="1104"/>
      <c r="I61" s="1067"/>
      <c r="J61" s="1067"/>
      <c r="K61" s="1067"/>
      <c r="L61" s="1067"/>
    </row>
    <row r="62" spans="1:14">
      <c r="G62" s="1104"/>
      <c r="H62" s="1104"/>
      <c r="I62" s="1067"/>
    </row>
    <row r="63" spans="1:14" ht="9.9499999999999993" customHeight="1"/>
    <row r="66" spans="1:16" ht="15">
      <c r="A66" s="1102"/>
      <c r="B66" s="1074"/>
      <c r="C66" s="1074"/>
      <c r="D66" s="1074"/>
      <c r="E66" s="1074"/>
      <c r="F66" s="1074"/>
      <c r="G66" s="1074"/>
      <c r="H66" s="1074"/>
      <c r="I66" s="1074"/>
      <c r="J66" s="1074"/>
      <c r="K66" s="1074"/>
      <c r="L66" s="1074"/>
      <c r="M66" s="1074"/>
      <c r="N66" s="1074"/>
      <c r="O66" s="1074"/>
    </row>
    <row r="67" spans="1:16" ht="15">
      <c r="A67" s="1102"/>
      <c r="B67" s="1074"/>
      <c r="C67" s="1074"/>
      <c r="D67" s="1074"/>
      <c r="E67" s="1074"/>
      <c r="F67" s="1074"/>
      <c r="G67" s="1074"/>
      <c r="H67" s="1074"/>
      <c r="I67" s="1074"/>
      <c r="J67" s="1074"/>
      <c r="K67" s="1074"/>
      <c r="L67" s="1074"/>
      <c r="M67" s="1074"/>
      <c r="N67" s="1074"/>
      <c r="O67" s="1074"/>
    </row>
    <row r="68" spans="1:16" ht="15">
      <c r="A68" s="1102"/>
      <c r="B68" s="1074"/>
      <c r="C68" s="1074"/>
      <c r="D68" s="1074"/>
      <c r="E68" s="1074"/>
      <c r="F68" s="1074"/>
      <c r="G68" s="1074"/>
      <c r="H68" s="1074"/>
      <c r="I68" s="1074"/>
      <c r="J68" s="1074"/>
      <c r="K68" s="1074"/>
      <c r="L68" s="1074"/>
      <c r="M68" s="1074"/>
      <c r="N68" s="1074"/>
      <c r="O68" s="1074"/>
    </row>
    <row r="69" spans="1:16" ht="15">
      <c r="A69" s="1102"/>
      <c r="B69" s="1074"/>
      <c r="C69" s="1074"/>
      <c r="D69" s="1074"/>
      <c r="E69" s="1074"/>
      <c r="F69" s="1074"/>
      <c r="G69" s="1074"/>
      <c r="H69" s="1074"/>
      <c r="I69" s="1074"/>
      <c r="J69" s="1074"/>
      <c r="K69" s="1074"/>
      <c r="L69" s="1074"/>
      <c r="M69" s="1074"/>
      <c r="N69" s="1074"/>
      <c r="O69" s="1074"/>
      <c r="P69" s="1067"/>
    </row>
    <row r="70" spans="1:16" ht="15">
      <c r="A70" s="1102"/>
      <c r="B70" s="1074"/>
      <c r="C70" s="1074"/>
      <c r="D70" s="1074"/>
      <c r="E70" s="1074"/>
      <c r="F70" s="1074"/>
      <c r="G70" s="1074"/>
      <c r="H70" s="1074"/>
      <c r="I70" s="1074"/>
      <c r="J70" s="1074"/>
      <c r="K70" s="1074"/>
      <c r="L70" s="1074"/>
      <c r="M70" s="1074"/>
      <c r="N70" s="1074"/>
      <c r="O70" s="1074"/>
      <c r="P70" s="1067"/>
    </row>
    <row r="71" spans="1:16" ht="15">
      <c r="A71" s="1102"/>
      <c r="B71" s="1074"/>
      <c r="C71" s="1074"/>
      <c r="D71" s="1074"/>
      <c r="E71" s="1074"/>
      <c r="F71" s="1074"/>
      <c r="G71" s="1074"/>
      <c r="H71" s="1074"/>
      <c r="I71" s="1074"/>
      <c r="J71" s="1074"/>
      <c r="K71" s="1074"/>
      <c r="L71" s="1074"/>
      <c r="M71" s="1074"/>
      <c r="N71" s="1074"/>
      <c r="O71" s="1074"/>
      <c r="P71" s="1067"/>
    </row>
    <row r="72" spans="1:16" ht="15">
      <c r="A72" s="1102"/>
      <c r="B72" s="1074"/>
      <c r="C72" s="1074"/>
      <c r="D72" s="1074"/>
      <c r="E72" s="1074"/>
      <c r="F72" s="1074"/>
      <c r="G72" s="1074"/>
      <c r="H72" s="1074"/>
      <c r="I72" s="1074"/>
      <c r="J72" s="1074"/>
      <c r="K72" s="1074"/>
      <c r="L72" s="1074"/>
      <c r="M72" s="1074"/>
      <c r="N72" s="1074"/>
      <c r="O72" s="1074"/>
      <c r="P72" s="1067"/>
    </row>
    <row r="73" spans="1:16" ht="15">
      <c r="A73" s="1102"/>
      <c r="B73" s="1074"/>
      <c r="C73" s="1074"/>
      <c r="D73" s="1074"/>
      <c r="E73" s="1074"/>
      <c r="F73" s="1074"/>
      <c r="G73" s="1074"/>
      <c r="H73" s="1074"/>
      <c r="I73" s="1074"/>
      <c r="J73" s="1074"/>
      <c r="K73" s="1074"/>
      <c r="L73" s="1074"/>
      <c r="M73" s="1074"/>
      <c r="N73" s="1074"/>
      <c r="O73" s="1074"/>
      <c r="P73" s="1067"/>
    </row>
    <row r="74" spans="1:16" ht="15">
      <c r="A74" s="1102"/>
      <c r="B74" s="1074"/>
      <c r="C74" s="1074"/>
      <c r="D74" s="1074"/>
      <c r="E74" s="1074"/>
      <c r="F74" s="1074"/>
      <c r="G74" s="1074"/>
      <c r="H74" s="1074"/>
      <c r="I74" s="1074"/>
      <c r="J74" s="1074"/>
      <c r="K74" s="1074"/>
      <c r="L74" s="1074"/>
      <c r="M74" s="1074"/>
      <c r="N74" s="1074"/>
      <c r="O74" s="1074"/>
      <c r="P74" s="1067"/>
    </row>
    <row r="75" spans="1:16" ht="15">
      <c r="A75" s="1102"/>
      <c r="B75" s="1074"/>
      <c r="C75" s="1074"/>
      <c r="D75" s="1074"/>
      <c r="E75" s="1074"/>
      <c r="F75" s="1074"/>
      <c r="G75" s="1074"/>
      <c r="H75" s="1074"/>
      <c r="I75" s="1074"/>
      <c r="J75" s="1074"/>
      <c r="K75" s="1074"/>
      <c r="L75" s="1074"/>
      <c r="M75" s="1074"/>
      <c r="N75" s="1074"/>
      <c r="O75" s="1074"/>
      <c r="P75" s="1067"/>
    </row>
    <row r="76" spans="1:16" ht="15">
      <c r="A76" s="1102"/>
      <c r="B76" s="1074"/>
      <c r="C76" s="1074"/>
      <c r="D76" s="1074"/>
      <c r="E76" s="1074"/>
      <c r="F76" s="1074"/>
      <c r="G76" s="1074"/>
      <c r="H76" s="1074"/>
      <c r="I76" s="1074"/>
      <c r="J76" s="1074"/>
      <c r="K76" s="1074"/>
      <c r="L76" s="1074"/>
      <c r="M76" s="1074"/>
      <c r="N76" s="1074"/>
      <c r="O76" s="1074"/>
      <c r="P76" s="1067"/>
    </row>
    <row r="77" spans="1:16" ht="15">
      <c r="A77" s="1102"/>
      <c r="B77" s="1074"/>
      <c r="C77" s="1074"/>
      <c r="D77" s="1074"/>
      <c r="E77" s="1074"/>
      <c r="F77" s="1074"/>
      <c r="G77" s="1074"/>
      <c r="H77" s="1074"/>
      <c r="I77" s="1074"/>
      <c r="J77" s="1074"/>
      <c r="K77" s="1074"/>
      <c r="L77" s="1074"/>
      <c r="M77" s="1074"/>
      <c r="N77" s="1074"/>
      <c r="O77" s="1074"/>
      <c r="P77" s="1067"/>
    </row>
    <row r="78" spans="1:16" ht="15">
      <c r="A78" s="1102"/>
      <c r="B78" s="1074"/>
      <c r="C78" s="1074"/>
      <c r="D78" s="1074"/>
      <c r="E78" s="1074"/>
      <c r="F78" s="1074"/>
      <c r="G78" s="1074"/>
      <c r="H78" s="1074"/>
      <c r="I78" s="1074"/>
      <c r="J78" s="1074"/>
      <c r="K78" s="1074"/>
      <c r="L78" s="1074"/>
      <c r="M78" s="1074"/>
      <c r="N78" s="1074"/>
      <c r="O78" s="1074"/>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A55A-E1CB-4581-B30E-2F1B7DD0C51B}">
  <dimension ref="A1:Q87"/>
  <sheetViews>
    <sheetView topLeftCell="A19" workbookViewId="0">
      <selection activeCell="F35" sqref="F35"/>
    </sheetView>
  </sheetViews>
  <sheetFormatPr defaultRowHeight="12.75"/>
  <cols>
    <col min="4" max="4" width="24" customWidth="1"/>
    <col min="5" max="5" width="25.140625" customWidth="1"/>
    <col min="6" max="6" width="25.28515625" customWidth="1"/>
    <col min="7" max="7" width="4.42578125" customWidth="1"/>
    <col min="8" max="8" width="20.28515625" customWidth="1"/>
    <col min="9" max="9" width="4.5703125" customWidth="1"/>
    <col min="10" max="10" width="19.85546875" customWidth="1"/>
    <col min="12" max="12" width="19.140625" customWidth="1"/>
    <col min="13" max="13" width="17.85546875" customWidth="1"/>
    <col min="14" max="14" width="20" customWidth="1"/>
  </cols>
  <sheetData>
    <row r="1" spans="1:17" ht="15.75">
      <c r="A1" s="1063" t="s">
        <v>1029</v>
      </c>
      <c r="B1" s="1105"/>
      <c r="C1" s="1105"/>
      <c r="D1" s="1105"/>
      <c r="E1" s="1105"/>
      <c r="F1" s="1105"/>
      <c r="G1" s="1105"/>
      <c r="H1" s="1105"/>
      <c r="I1" s="1105"/>
      <c r="J1" s="1105"/>
      <c r="K1" s="1105"/>
      <c r="L1" s="1065"/>
      <c r="M1" s="1105"/>
      <c r="N1" s="1066"/>
      <c r="O1" s="1105"/>
      <c r="P1" s="1105"/>
      <c r="Q1" s="1105"/>
    </row>
    <row r="2" spans="1:17" ht="15">
      <c r="A2" s="1063" t="s">
        <v>1031</v>
      </c>
      <c r="B2" s="1105"/>
      <c r="C2" s="1105"/>
      <c r="D2" s="1105"/>
      <c r="E2" s="1105"/>
      <c r="F2" s="1105"/>
      <c r="G2" s="1105"/>
      <c r="H2" s="1105"/>
      <c r="I2" s="1105"/>
      <c r="J2" s="1105"/>
      <c r="K2" s="1105"/>
      <c r="L2" s="1068"/>
      <c r="M2" s="1105"/>
      <c r="N2" s="1069"/>
      <c r="O2" s="1105"/>
      <c r="P2" s="1105"/>
      <c r="Q2" s="1105"/>
    </row>
    <row r="3" spans="1:17" ht="15">
      <c r="A3" s="1063" t="s">
        <v>1033</v>
      </c>
      <c r="B3" s="1105"/>
      <c r="C3" s="1105"/>
      <c r="D3" s="1105"/>
      <c r="E3" s="1105"/>
      <c r="F3" s="1105"/>
      <c r="G3" s="1105"/>
      <c r="H3" s="1105"/>
      <c r="I3" s="1105"/>
      <c r="J3" s="1105"/>
      <c r="K3" s="1105"/>
      <c r="L3" s="1105"/>
      <c r="M3" s="1105"/>
      <c r="N3" s="1069"/>
      <c r="O3" s="1105"/>
      <c r="P3" s="1105"/>
      <c r="Q3" s="1105"/>
    </row>
    <row r="4" spans="1:17" ht="15">
      <c r="A4" s="1063" t="s">
        <v>1078</v>
      </c>
      <c r="B4" s="1105"/>
      <c r="C4" s="1105"/>
      <c r="D4" s="1105"/>
      <c r="E4" s="1105"/>
      <c r="F4" s="1105"/>
      <c r="G4" s="1105"/>
      <c r="H4" s="1105"/>
      <c r="I4" s="1105"/>
      <c r="J4" s="1105"/>
      <c r="K4" s="1105"/>
      <c r="L4" s="1105"/>
      <c r="M4" s="1105"/>
      <c r="N4" s="1066"/>
      <c r="O4" s="1105"/>
      <c r="P4" s="1105"/>
      <c r="Q4" s="1105"/>
    </row>
    <row r="5" spans="1:17" ht="15">
      <c r="A5" s="1063" t="s">
        <v>1037</v>
      </c>
      <c r="B5" s="1105"/>
      <c r="C5" s="1105"/>
      <c r="D5" s="1105"/>
      <c r="E5" s="1105"/>
      <c r="F5" s="1105"/>
      <c r="G5" s="1105"/>
      <c r="H5" s="1105"/>
      <c r="I5" s="1105"/>
      <c r="J5" s="1105"/>
      <c r="K5" s="1105"/>
      <c r="L5" s="1105"/>
      <c r="M5" s="1105"/>
      <c r="N5" s="1105"/>
      <c r="O5" s="1105"/>
      <c r="P5" s="1105"/>
      <c r="Q5" s="1105"/>
    </row>
    <row r="6" spans="1:17" ht="15">
      <c r="A6" s="1063" t="s">
        <v>907</v>
      </c>
      <c r="B6" s="1105"/>
      <c r="C6" s="1105"/>
      <c r="D6" s="1105"/>
      <c r="E6" s="1105"/>
      <c r="F6" s="1105"/>
      <c r="G6" s="1105"/>
      <c r="H6" s="1105"/>
      <c r="I6" s="1105"/>
      <c r="J6" s="1105"/>
      <c r="K6" s="1105"/>
      <c r="L6" s="1105"/>
      <c r="M6" s="1105"/>
      <c r="N6" s="1105"/>
      <c r="O6" s="1105"/>
      <c r="P6" s="1105"/>
      <c r="Q6" s="1105"/>
    </row>
    <row r="7" spans="1:17" ht="15">
      <c r="A7" s="1273" t="s">
        <v>1079</v>
      </c>
      <c r="B7" s="1273"/>
      <c r="C7" s="1273"/>
      <c r="D7" s="1273"/>
      <c r="E7" s="1273"/>
      <c r="F7" s="1273"/>
      <c r="G7" s="1273"/>
      <c r="H7" s="1273"/>
      <c r="I7" s="1273"/>
      <c r="J7" s="1273"/>
      <c r="K7" s="1273"/>
      <c r="L7" s="1273"/>
      <c r="M7" s="1273"/>
      <c r="N7" s="1273"/>
      <c r="O7" s="1105"/>
      <c r="P7" s="1105"/>
      <c r="Q7" s="1105"/>
    </row>
    <row r="9" spans="1:17" ht="15">
      <c r="A9" s="1070" t="s">
        <v>148</v>
      </c>
      <c r="B9" s="1071" t="s">
        <v>149</v>
      </c>
      <c r="C9" s="1071"/>
      <c r="D9" s="1106" t="s">
        <v>150</v>
      </c>
      <c r="E9" s="1071" t="s">
        <v>151</v>
      </c>
      <c r="F9" s="1071" t="s">
        <v>152</v>
      </c>
      <c r="G9" s="1071"/>
      <c r="H9" s="1071" t="s">
        <v>1039</v>
      </c>
      <c r="I9" s="1071"/>
      <c r="J9" s="1071" t="s">
        <v>154</v>
      </c>
      <c r="K9" s="1071"/>
      <c r="L9" s="1071" t="s">
        <v>1040</v>
      </c>
      <c r="M9" s="1071" t="s">
        <v>156</v>
      </c>
      <c r="N9" s="1071" t="s">
        <v>1041</v>
      </c>
      <c r="O9" s="1105"/>
      <c r="P9" s="1105"/>
      <c r="Q9" s="1274"/>
    </row>
    <row r="10" spans="1:17" ht="15">
      <c r="A10" s="1105"/>
      <c r="B10" s="1105"/>
      <c r="C10" s="1105"/>
      <c r="D10" s="1105"/>
      <c r="E10" s="1105"/>
      <c r="F10" s="1072"/>
      <c r="G10" s="1072"/>
      <c r="H10" s="1072"/>
      <c r="I10" s="1105"/>
      <c r="J10" s="1105"/>
      <c r="K10" s="1105"/>
      <c r="L10" s="1105"/>
      <c r="M10" s="1105"/>
      <c r="N10" s="1105"/>
      <c r="O10" s="1105"/>
      <c r="P10" s="1105"/>
      <c r="Q10" s="1274"/>
    </row>
    <row r="11" spans="1:17" ht="39">
      <c r="A11" s="1063" t="s">
        <v>1042</v>
      </c>
      <c r="B11" s="1064" t="s">
        <v>1043</v>
      </c>
      <c r="C11" s="1105"/>
      <c r="D11" s="1107" t="s">
        <v>1080</v>
      </c>
      <c r="E11" s="1071" t="s">
        <v>926</v>
      </c>
      <c r="F11" s="1073" t="s">
        <v>1045</v>
      </c>
      <c r="G11" s="1073"/>
      <c r="H11" s="1073" t="s">
        <v>1046</v>
      </c>
      <c r="I11" s="1074"/>
      <c r="J11" s="1073" t="s">
        <v>1047</v>
      </c>
      <c r="K11" s="1064"/>
      <c r="L11" s="1073" t="s">
        <v>1048</v>
      </c>
      <c r="M11" s="1073" t="s">
        <v>1049</v>
      </c>
      <c r="N11" s="1073" t="s">
        <v>1050</v>
      </c>
      <c r="O11" s="1105"/>
      <c r="P11" s="1105"/>
      <c r="Q11" s="1105"/>
    </row>
    <row r="12" spans="1:17" ht="15.75">
      <c r="A12" s="1105"/>
      <c r="B12" s="1105"/>
      <c r="C12" s="1105"/>
      <c r="D12" s="1107"/>
      <c r="E12" s="1071"/>
      <c r="F12" s="1073"/>
      <c r="G12" s="1073"/>
      <c r="H12" s="1073"/>
      <c r="I12" s="1074"/>
      <c r="J12" s="1073"/>
      <c r="K12" s="1064"/>
      <c r="L12" s="1073"/>
      <c r="M12" s="1105"/>
      <c r="N12" s="1072"/>
      <c r="O12" s="1105"/>
      <c r="P12" s="1105"/>
      <c r="Q12" s="1105"/>
    </row>
    <row r="13" spans="1:17" ht="15.75">
      <c r="A13" s="1075" t="s">
        <v>1051</v>
      </c>
      <c r="B13" s="1105"/>
      <c r="C13" s="1105"/>
      <c r="D13" s="1107"/>
      <c r="E13" s="1071"/>
      <c r="F13" s="1073"/>
      <c r="G13" s="1073"/>
      <c r="H13" s="1073"/>
      <c r="I13" s="1074"/>
      <c r="J13" s="1073"/>
      <c r="K13" s="1064"/>
      <c r="L13" s="1073"/>
      <c r="M13" s="1105"/>
      <c r="N13" s="1072"/>
      <c r="O13" s="1105"/>
      <c r="P13" s="1105"/>
      <c r="Q13" s="1105"/>
    </row>
    <row r="14" spans="1:17" ht="15">
      <c r="A14" s="1105"/>
      <c r="B14" s="1105"/>
      <c r="C14" s="1105"/>
      <c r="D14" s="1108"/>
      <c r="E14" s="1067"/>
      <c r="F14" s="1076"/>
      <c r="G14" s="1076"/>
      <c r="H14" s="1076"/>
      <c r="I14" s="1076"/>
      <c r="J14" s="1076"/>
      <c r="K14" s="1076"/>
      <c r="L14" s="1076"/>
      <c r="M14" s="1067"/>
      <c r="N14" s="1067"/>
      <c r="O14" s="1105"/>
      <c r="P14" s="1105"/>
      <c r="Q14" s="1105"/>
    </row>
    <row r="15" spans="1:17" ht="15">
      <c r="A15" s="1077">
        <v>1</v>
      </c>
      <c r="B15" s="1078" t="s">
        <v>1081</v>
      </c>
      <c r="C15" s="1105"/>
      <c r="D15" s="1079">
        <v>-744125741</v>
      </c>
      <c r="E15" s="1067" t="s">
        <v>1082</v>
      </c>
      <c r="F15" s="1064"/>
      <c r="G15" s="1064"/>
      <c r="H15" s="1064"/>
      <c r="I15" s="1064"/>
      <c r="J15" s="1064"/>
      <c r="K15" s="1064"/>
      <c r="L15" s="1064"/>
      <c r="M15" s="1105"/>
      <c r="N15" s="1067"/>
      <c r="O15" s="1105"/>
      <c r="P15" s="1105"/>
      <c r="Q15" s="1105"/>
    </row>
    <row r="16" spans="1:17" ht="15.75">
      <c r="A16" s="1077">
        <v>2</v>
      </c>
      <c r="B16" s="1078"/>
      <c r="C16" s="1105"/>
      <c r="D16" s="1109">
        <v>0.43256499999999998</v>
      </c>
      <c r="E16" s="1067" t="s">
        <v>1083</v>
      </c>
      <c r="F16" s="1074"/>
      <c r="G16" s="1074"/>
      <c r="H16" s="1081"/>
      <c r="I16" s="1074"/>
      <c r="J16" s="1074"/>
      <c r="K16" s="1074"/>
      <c r="L16" s="1074"/>
      <c r="M16" s="1067"/>
      <c r="N16" s="1067"/>
      <c r="O16" s="1105"/>
      <c r="P16" s="1105"/>
      <c r="Q16" s="1105"/>
    </row>
    <row r="17" spans="1:16" ht="15.75">
      <c r="A17" s="1077">
        <v>3</v>
      </c>
      <c r="B17" s="1078"/>
      <c r="C17" s="1105"/>
      <c r="D17" s="1110">
        <v>6.5000000000000002E-2</v>
      </c>
      <c r="E17" s="1067" t="s">
        <v>1084</v>
      </c>
      <c r="F17" s="1074"/>
      <c r="G17" s="1074"/>
      <c r="H17" s="1081"/>
      <c r="I17" s="1074"/>
      <c r="J17" s="1074"/>
      <c r="K17" s="1074"/>
      <c r="L17" s="1074"/>
      <c r="M17" s="1067"/>
      <c r="N17" s="1067"/>
      <c r="O17" s="1105"/>
      <c r="P17" s="1105"/>
    </row>
    <row r="18" spans="1:16" ht="15.75">
      <c r="A18" s="1077">
        <v>4</v>
      </c>
      <c r="B18" s="1078"/>
      <c r="C18" s="1105"/>
      <c r="D18" s="1111">
        <v>-20922378.825118225</v>
      </c>
      <c r="E18" s="1064" t="s">
        <v>1085</v>
      </c>
      <c r="F18" s="1074"/>
      <c r="G18" s="1074"/>
      <c r="H18" s="1081"/>
      <c r="I18" s="1074"/>
      <c r="J18" s="1074"/>
      <c r="K18" s="1074"/>
      <c r="L18" s="1074"/>
      <c r="M18" s="1067"/>
      <c r="N18" s="1067"/>
      <c r="O18" s="1105"/>
      <c r="P18" s="1105"/>
    </row>
    <row r="19" spans="1:16" ht="15.75">
      <c r="A19" s="1077">
        <v>5</v>
      </c>
      <c r="B19" s="1078"/>
      <c r="C19" s="1105"/>
      <c r="D19" s="1111"/>
      <c r="E19" s="1105"/>
      <c r="F19" s="1074"/>
      <c r="G19" s="1074"/>
      <c r="H19" s="1081"/>
      <c r="I19" s="1074"/>
      <c r="J19" s="1074"/>
      <c r="K19" s="1074"/>
      <c r="L19" s="1074"/>
      <c r="M19" s="1067"/>
      <c r="N19" s="1067"/>
      <c r="O19" s="1105"/>
      <c r="P19" s="1105"/>
    </row>
    <row r="20" spans="1:16" ht="15.75">
      <c r="A20" s="1077">
        <v>6</v>
      </c>
      <c r="B20" s="1078"/>
      <c r="C20" s="1105"/>
      <c r="D20" s="1111">
        <v>-744125741</v>
      </c>
      <c r="E20" s="1067" t="s">
        <v>1082</v>
      </c>
      <c r="F20" s="1074"/>
      <c r="G20" s="1074"/>
      <c r="H20" s="1081"/>
      <c r="I20" s="1074"/>
      <c r="J20" s="1074"/>
      <c r="K20" s="1074"/>
      <c r="L20" s="1074"/>
      <c r="M20" s="1067"/>
      <c r="N20" s="1067"/>
      <c r="O20" s="1105"/>
      <c r="P20" s="1105"/>
    </row>
    <row r="21" spans="1:16" ht="15.75">
      <c r="A21" s="1077">
        <v>7</v>
      </c>
      <c r="B21" s="1078"/>
      <c r="C21" s="1105"/>
      <c r="D21" s="1109">
        <v>0.52269500000000002</v>
      </c>
      <c r="E21" s="1067" t="s">
        <v>1086</v>
      </c>
      <c r="F21" s="1074"/>
      <c r="G21" s="1074"/>
      <c r="H21" s="1081"/>
      <c r="I21" s="1074"/>
      <c r="J21" s="1074"/>
      <c r="K21" s="1074"/>
      <c r="L21" s="1074"/>
      <c r="M21" s="1067"/>
      <c r="N21" s="1067"/>
      <c r="O21" s="1105"/>
      <c r="P21" s="1105"/>
    </row>
    <row r="22" spans="1:16" ht="15.75">
      <c r="A22" s="1077">
        <v>8</v>
      </c>
      <c r="B22" s="1078"/>
      <c r="C22" s="1105"/>
      <c r="D22" s="1110">
        <v>6.5000000000000002E-2</v>
      </c>
      <c r="E22" s="1067" t="s">
        <v>1084</v>
      </c>
      <c r="F22" s="1074"/>
      <c r="G22" s="1074"/>
      <c r="H22" s="1081"/>
      <c r="I22" s="1074"/>
      <c r="J22" s="1074"/>
      <c r="K22" s="1074"/>
      <c r="L22" s="1074"/>
      <c r="M22" s="1067"/>
      <c r="N22" s="1067"/>
      <c r="O22" s="1105"/>
      <c r="P22" s="1105"/>
    </row>
    <row r="23" spans="1:16" ht="15.75">
      <c r="A23" s="1077">
        <v>9</v>
      </c>
      <c r="B23" s="1078"/>
      <c r="C23" s="1105"/>
      <c r="D23" s="1111">
        <v>-25281802.272479676</v>
      </c>
      <c r="E23" s="1064" t="s">
        <v>1087</v>
      </c>
      <c r="F23" s="1074"/>
      <c r="G23" s="1074"/>
      <c r="H23" s="1081"/>
      <c r="I23" s="1074"/>
      <c r="J23" s="1074"/>
      <c r="K23" s="1074"/>
      <c r="L23" s="1074"/>
      <c r="M23" s="1067"/>
      <c r="N23" s="1067"/>
      <c r="O23" s="1105"/>
      <c r="P23" s="1105"/>
    </row>
    <row r="24" spans="1:16" ht="15">
      <c r="A24" s="1077">
        <v>10</v>
      </c>
      <c r="B24" s="1078"/>
      <c r="C24" s="1105"/>
      <c r="D24" s="1112"/>
      <c r="E24" s="1105"/>
      <c r="F24" s="1076"/>
      <c r="G24" s="1076"/>
      <c r="H24" s="1082"/>
      <c r="I24" s="1083"/>
      <c r="J24" s="1076"/>
      <c r="K24" s="1076"/>
      <c r="L24" s="1076"/>
      <c r="M24" s="1067"/>
      <c r="N24" s="1067">
        <v>0</v>
      </c>
      <c r="O24" s="1105"/>
      <c r="P24" s="1105"/>
    </row>
    <row r="25" spans="1:16" ht="15">
      <c r="A25" s="1077">
        <v>11</v>
      </c>
      <c r="B25" s="1078"/>
      <c r="C25" s="1105"/>
      <c r="D25" s="1113">
        <v>4359423.4473614506</v>
      </c>
      <c r="E25" s="1064" t="s">
        <v>1088</v>
      </c>
      <c r="F25" s="1114">
        <v>4359423.4473614506</v>
      </c>
      <c r="G25" s="1084"/>
      <c r="H25" s="1082">
        <v>-0.17243325457484768</v>
      </c>
      <c r="I25" s="1083"/>
      <c r="J25" s="1076">
        <v>0</v>
      </c>
      <c r="K25" s="1076"/>
      <c r="L25" s="1076">
        <v>4359423.4473614506</v>
      </c>
      <c r="M25" s="1067" t="s">
        <v>944</v>
      </c>
      <c r="N25" s="1067">
        <v>-20922378.825118225</v>
      </c>
      <c r="O25" s="1105"/>
      <c r="P25" s="1105"/>
    </row>
    <row r="26" spans="1:16" ht="15">
      <c r="A26" s="1077">
        <v>12</v>
      </c>
      <c r="B26" s="1078"/>
      <c r="C26" s="1105"/>
      <c r="D26" s="1112"/>
      <c r="E26" s="1064" t="s">
        <v>1089</v>
      </c>
      <c r="F26" s="1076">
        <v>-915478.92394590459</v>
      </c>
      <c r="G26" s="1076"/>
      <c r="H26" s="1082"/>
      <c r="I26" s="1115"/>
      <c r="J26" s="1076">
        <v>0</v>
      </c>
      <c r="K26" s="1076"/>
      <c r="L26" s="1076">
        <v>-915478.92394590459</v>
      </c>
      <c r="M26" s="1067" t="s">
        <v>944</v>
      </c>
      <c r="N26" s="1067">
        <v>0</v>
      </c>
      <c r="O26" s="1105"/>
      <c r="P26" s="1105"/>
    </row>
    <row r="27" spans="1:16" ht="15">
      <c r="A27" s="1077">
        <v>13</v>
      </c>
      <c r="B27" s="1078"/>
      <c r="C27" s="1105"/>
      <c r="D27" s="1108"/>
      <c r="E27" s="1105"/>
      <c r="F27" s="1076"/>
      <c r="G27" s="1076"/>
      <c r="H27" s="1082"/>
      <c r="I27" s="1089"/>
      <c r="J27" s="1076"/>
      <c r="K27" s="1076"/>
      <c r="L27" s="1076"/>
      <c r="M27" s="1067"/>
      <c r="N27" s="1067"/>
      <c r="O27" s="1105"/>
      <c r="P27" s="1105"/>
    </row>
    <row r="28" spans="1:16" ht="15">
      <c r="A28" s="1077">
        <v>14</v>
      </c>
      <c r="B28" s="1105"/>
      <c r="C28" s="1105"/>
      <c r="D28" s="1105"/>
      <c r="E28" s="1067"/>
      <c r="F28" s="1076"/>
      <c r="G28" s="1076"/>
      <c r="H28" s="1085"/>
      <c r="I28" s="1090"/>
      <c r="J28" s="1076"/>
      <c r="K28" s="1076"/>
      <c r="L28" s="1076"/>
      <c r="M28" s="1067"/>
      <c r="N28" s="1067"/>
      <c r="O28" s="1105"/>
      <c r="P28" s="1105"/>
    </row>
    <row r="29" spans="1:16" ht="15">
      <c r="A29" s="1077">
        <v>15</v>
      </c>
      <c r="B29" s="1064" t="s">
        <v>118</v>
      </c>
      <c r="C29" s="1105"/>
      <c r="D29" s="1116">
        <v>-25281802.272479676</v>
      </c>
      <c r="E29" s="1067" t="s">
        <v>1090</v>
      </c>
      <c r="F29" s="1092">
        <v>3443944.5234155459</v>
      </c>
      <c r="G29" s="1093"/>
      <c r="H29" s="1094"/>
      <c r="I29" s="1064"/>
      <c r="J29" s="1092">
        <v>0</v>
      </c>
      <c r="K29" s="1076"/>
      <c r="L29" s="1092">
        <v>3443944.5234155459</v>
      </c>
      <c r="M29" s="1067"/>
      <c r="N29" s="1092">
        <v>-20922378.825118225</v>
      </c>
      <c r="O29" s="1105"/>
      <c r="P29" s="1105"/>
    </row>
    <row r="30" spans="1:16" ht="15">
      <c r="A30" s="1077"/>
      <c r="B30" s="1105"/>
      <c r="C30" s="1105"/>
      <c r="D30" s="1108"/>
      <c r="E30" s="1095"/>
      <c r="F30" s="1084"/>
      <c r="G30" s="1084"/>
      <c r="H30" s="1082"/>
      <c r="I30" s="1076"/>
      <c r="J30" s="1076"/>
      <c r="K30" s="1076"/>
      <c r="L30" s="1076"/>
      <c r="M30" s="1067"/>
      <c r="N30" s="1067"/>
      <c r="O30" s="1105"/>
      <c r="P30" s="1105"/>
    </row>
    <row r="31" spans="1:16" ht="15">
      <c r="A31" s="1096" t="s">
        <v>1067</v>
      </c>
      <c r="B31" s="1105"/>
      <c r="C31" s="1105"/>
      <c r="D31" s="1108"/>
      <c r="E31" s="1067"/>
      <c r="F31" s="1084"/>
      <c r="G31" s="1084"/>
      <c r="H31" s="1082"/>
      <c r="I31" s="1084"/>
      <c r="J31" s="1076"/>
      <c r="K31" s="1076"/>
      <c r="L31" s="1076"/>
      <c r="M31" s="1067"/>
      <c r="N31" s="1067"/>
      <c r="O31" s="1105"/>
      <c r="P31" s="1067"/>
    </row>
    <row r="32" spans="1:16" ht="15.75">
      <c r="A32" s="1077"/>
      <c r="B32" s="1105"/>
      <c r="C32" s="1105"/>
      <c r="D32" s="1105"/>
      <c r="E32" s="1105"/>
      <c r="F32" s="1090"/>
      <c r="G32" s="1090"/>
      <c r="H32" s="1082"/>
      <c r="I32" s="1064"/>
      <c r="J32" s="1074"/>
      <c r="K32" s="1076"/>
      <c r="L32" s="1076"/>
      <c r="M32" s="1105"/>
      <c r="N32" s="1067"/>
      <c r="O32" s="1105"/>
      <c r="P32" s="1067"/>
    </row>
    <row r="33" spans="1:16" ht="15">
      <c r="A33" s="1077">
        <v>16</v>
      </c>
      <c r="B33" s="1078" t="s">
        <v>1081</v>
      </c>
      <c r="C33" s="1105"/>
      <c r="D33" s="1079">
        <v>-156132408</v>
      </c>
      <c r="E33" s="1067" t="s">
        <v>1082</v>
      </c>
      <c r="F33" s="1064"/>
      <c r="G33" s="1064"/>
      <c r="H33" s="1064"/>
      <c r="I33" s="1064"/>
      <c r="J33" s="1064"/>
      <c r="K33" s="1064"/>
      <c r="L33" s="1064"/>
      <c r="M33" s="1105"/>
      <c r="N33" s="1067"/>
      <c r="O33" s="1105"/>
      <c r="P33" s="1067"/>
    </row>
    <row r="34" spans="1:16" ht="15.75">
      <c r="A34" s="1077">
        <v>17</v>
      </c>
      <c r="B34" s="1105"/>
      <c r="C34" s="1105"/>
      <c r="D34" s="1109">
        <v>0.43256499999999998</v>
      </c>
      <c r="E34" s="1067" t="s">
        <v>1083</v>
      </c>
      <c r="F34" s="1074"/>
      <c r="G34" s="1074"/>
      <c r="H34" s="1081"/>
      <c r="I34" s="1074"/>
      <c r="J34" s="1074"/>
      <c r="K34" s="1074"/>
      <c r="L34" s="1074"/>
      <c r="M34" s="1067"/>
      <c r="N34" s="1067"/>
      <c r="O34" s="1105"/>
      <c r="P34" s="1067"/>
    </row>
    <row r="35" spans="1:16" ht="15.75">
      <c r="A35" s="1077">
        <v>18</v>
      </c>
      <c r="B35" s="1105"/>
      <c r="C35" s="1105"/>
      <c r="D35" s="1110">
        <v>6.5000000000000002E-2</v>
      </c>
      <c r="E35" s="1067" t="s">
        <v>1084</v>
      </c>
      <c r="F35" s="1074"/>
      <c r="G35" s="1074"/>
      <c r="H35" s="1081"/>
      <c r="I35" s="1074"/>
      <c r="J35" s="1074"/>
      <c r="K35" s="1074"/>
      <c r="L35" s="1074"/>
      <c r="M35" s="1067"/>
      <c r="N35" s="1067"/>
      <c r="O35" s="1105"/>
      <c r="P35" s="1067"/>
    </row>
    <row r="36" spans="1:16" ht="15.75">
      <c r="A36" s="1077">
        <v>19</v>
      </c>
      <c r="B36" s="1105"/>
      <c r="C36" s="1105"/>
      <c r="D36" s="1111">
        <v>-4389931.9793237997</v>
      </c>
      <c r="E36" s="1064" t="s">
        <v>1085</v>
      </c>
      <c r="F36" s="1074"/>
      <c r="G36" s="1074"/>
      <c r="H36" s="1081"/>
      <c r="I36" s="1074"/>
      <c r="J36" s="1074"/>
      <c r="K36" s="1074"/>
      <c r="L36" s="1074"/>
      <c r="M36" s="1067"/>
      <c r="N36" s="1067"/>
      <c r="O36" s="1105"/>
      <c r="P36" s="1067"/>
    </row>
    <row r="37" spans="1:16" ht="15.75">
      <c r="A37" s="1077">
        <v>20</v>
      </c>
      <c r="B37" s="1105"/>
      <c r="C37" s="1105"/>
      <c r="D37" s="1111"/>
      <c r="E37" s="1105"/>
      <c r="F37" s="1074"/>
      <c r="G37" s="1074"/>
      <c r="H37" s="1081"/>
      <c r="I37" s="1074"/>
      <c r="J37" s="1074"/>
      <c r="K37" s="1074"/>
      <c r="L37" s="1074"/>
      <c r="M37" s="1067"/>
      <c r="N37" s="1067"/>
      <c r="O37" s="1105"/>
      <c r="P37" s="1067"/>
    </row>
    <row r="38" spans="1:16" ht="15.75">
      <c r="A38" s="1077">
        <v>21</v>
      </c>
      <c r="B38" s="1105"/>
      <c r="C38" s="1105"/>
      <c r="D38" s="1111">
        <v>-156132408</v>
      </c>
      <c r="E38" s="1067" t="s">
        <v>1082</v>
      </c>
      <c r="F38" s="1074"/>
      <c r="G38" s="1074"/>
      <c r="H38" s="1081"/>
      <c r="I38" s="1074"/>
      <c r="J38" s="1074"/>
      <c r="K38" s="1074"/>
      <c r="L38" s="1074"/>
      <c r="M38" s="1067"/>
      <c r="N38" s="1067"/>
      <c r="O38" s="1105"/>
      <c r="P38" s="1067"/>
    </row>
    <row r="39" spans="1:16" ht="15.75">
      <c r="A39" s="1077">
        <v>22</v>
      </c>
      <c r="B39" s="1105"/>
      <c r="C39" s="1105"/>
      <c r="D39" s="1109">
        <v>0.52269500000000002</v>
      </c>
      <c r="E39" s="1067" t="s">
        <v>1086</v>
      </c>
      <c r="F39" s="1074"/>
      <c r="G39" s="1074"/>
      <c r="H39" s="1081"/>
      <c r="I39" s="1074"/>
      <c r="J39" s="1074"/>
      <c r="K39" s="1074"/>
      <c r="L39" s="1074"/>
      <c r="M39" s="1067"/>
      <c r="N39" s="1067"/>
      <c r="O39" s="1105"/>
      <c r="P39" s="1067"/>
    </row>
    <row r="40" spans="1:16" ht="15.75">
      <c r="A40" s="1077">
        <v>23</v>
      </c>
      <c r="B40" s="1078"/>
      <c r="C40" s="1105"/>
      <c r="D40" s="1110">
        <v>6.5000000000000002E-2</v>
      </c>
      <c r="E40" s="1067" t="s">
        <v>1084</v>
      </c>
      <c r="F40" s="1074"/>
      <c r="G40" s="1074"/>
      <c r="H40" s="1081"/>
      <c r="I40" s="1074"/>
      <c r="J40" s="1074"/>
      <c r="K40" s="1074"/>
      <c r="L40" s="1074"/>
      <c r="M40" s="1067"/>
      <c r="N40" s="1067"/>
      <c r="O40" s="1105"/>
      <c r="P40" s="1067"/>
    </row>
    <row r="41" spans="1:16" ht="15.75">
      <c r="A41" s="1077">
        <v>24</v>
      </c>
      <c r="B41" s="1078"/>
      <c r="C41" s="1105"/>
      <c r="D41" s="1111">
        <v>-5304625.8849713998</v>
      </c>
      <c r="E41" s="1064" t="s">
        <v>1087</v>
      </c>
      <c r="F41" s="1074"/>
      <c r="G41" s="1074"/>
      <c r="H41" s="1081"/>
      <c r="I41" s="1074"/>
      <c r="J41" s="1074"/>
      <c r="K41" s="1074"/>
      <c r="L41" s="1074"/>
      <c r="M41" s="1067"/>
      <c r="N41" s="1067"/>
      <c r="O41" s="1064"/>
      <c r="P41" s="1067"/>
    </row>
    <row r="42" spans="1:16" ht="15">
      <c r="A42" s="1077">
        <v>25</v>
      </c>
      <c r="B42" s="1078"/>
      <c r="C42" s="1105"/>
      <c r="D42" s="1112"/>
      <c r="E42" s="1105"/>
      <c r="F42" s="1076"/>
      <c r="G42" s="1076"/>
      <c r="H42" s="1082"/>
      <c r="I42" s="1083"/>
      <c r="J42" s="1076"/>
      <c r="K42" s="1076"/>
      <c r="L42" s="1076"/>
      <c r="M42" s="1067"/>
      <c r="N42" s="1067">
        <v>0</v>
      </c>
      <c r="O42" s="1064"/>
      <c r="P42" s="1097"/>
    </row>
    <row r="43" spans="1:16" ht="15">
      <c r="A43" s="1077">
        <v>26</v>
      </c>
      <c r="B43" s="1078"/>
      <c r="C43" s="1105"/>
      <c r="D43" s="1113">
        <v>914693.90564760007</v>
      </c>
      <c r="E43" s="1064" t="s">
        <v>1091</v>
      </c>
      <c r="F43" s="1114">
        <v>914693.90564760007</v>
      </c>
      <c r="G43" s="1084"/>
      <c r="H43" s="1082">
        <v>-0.17243325457484768</v>
      </c>
      <c r="I43" s="1083"/>
      <c r="J43" s="1076">
        <v>0</v>
      </c>
      <c r="K43" s="1076"/>
      <c r="L43" s="1076">
        <v>914693.90564760007</v>
      </c>
      <c r="M43" s="1067" t="s">
        <v>944</v>
      </c>
      <c r="N43" s="1067">
        <v>-4389931.9793237997</v>
      </c>
      <c r="O43" s="1064"/>
      <c r="P43" s="1097"/>
    </row>
    <row r="44" spans="1:16" ht="15">
      <c r="A44" s="1077">
        <v>27</v>
      </c>
      <c r="B44" s="1078"/>
      <c r="C44" s="1105"/>
      <c r="D44" s="1112"/>
      <c r="E44" s="1064" t="s">
        <v>1089</v>
      </c>
      <c r="F44" s="1076">
        <v>-192085.720185996</v>
      </c>
      <c r="G44" s="1076"/>
      <c r="H44" s="1082"/>
      <c r="I44" s="1115"/>
      <c r="J44" s="1076">
        <v>0</v>
      </c>
      <c r="K44" s="1076"/>
      <c r="L44" s="1076">
        <v>-192085.720185996</v>
      </c>
      <c r="M44" s="1067" t="s">
        <v>944</v>
      </c>
      <c r="N44" s="1067">
        <v>0</v>
      </c>
      <c r="O44" s="1064"/>
      <c r="P44" s="1067"/>
    </row>
    <row r="45" spans="1:16" ht="15">
      <c r="A45" s="1077">
        <v>28</v>
      </c>
      <c r="B45" s="1078"/>
      <c r="C45" s="1105"/>
      <c r="D45" s="1117"/>
      <c r="E45" s="1078"/>
      <c r="F45" s="1076"/>
      <c r="G45" s="1076"/>
      <c r="H45" s="1082"/>
      <c r="I45" s="1084"/>
      <c r="J45" s="1076"/>
      <c r="K45" s="1076"/>
      <c r="L45" s="1076"/>
      <c r="M45" s="1105"/>
      <c r="N45" s="1067"/>
      <c r="O45" s="1064"/>
      <c r="P45" s="1067"/>
    </row>
    <row r="46" spans="1:16" ht="15">
      <c r="A46" s="1077">
        <v>29</v>
      </c>
      <c r="B46" s="1105"/>
      <c r="C46" s="1105"/>
      <c r="D46" s="1117"/>
      <c r="E46" s="1067"/>
      <c r="F46" s="1084"/>
      <c r="G46" s="1084"/>
      <c r="H46" s="1082"/>
      <c r="I46" s="1084"/>
      <c r="J46" s="1076"/>
      <c r="K46" s="1076"/>
      <c r="L46" s="1076"/>
      <c r="M46" s="1105"/>
      <c r="N46" s="1067"/>
      <c r="O46" s="1064"/>
      <c r="P46" s="1067"/>
    </row>
    <row r="47" spans="1:16" ht="15">
      <c r="A47" s="1077">
        <v>30</v>
      </c>
      <c r="B47" s="1064" t="s">
        <v>118</v>
      </c>
      <c r="C47" s="1105"/>
      <c r="D47" s="1116">
        <v>-5304625.8849713998</v>
      </c>
      <c r="E47" s="1067" t="s">
        <v>1092</v>
      </c>
      <c r="F47" s="1092">
        <v>722608.18546160404</v>
      </c>
      <c r="G47" s="1093"/>
      <c r="H47" s="1101"/>
      <c r="I47" s="1064"/>
      <c r="J47" s="1092">
        <v>0</v>
      </c>
      <c r="K47" s="1076"/>
      <c r="L47" s="1092">
        <v>722608.18546160404</v>
      </c>
      <c r="M47" s="1105"/>
      <c r="N47" s="1092">
        <v>-4389931.9793237997</v>
      </c>
      <c r="O47" s="1064"/>
      <c r="P47" s="1067"/>
    </row>
    <row r="48" spans="1:16" ht="15">
      <c r="A48" s="1077"/>
      <c r="B48" s="1105"/>
      <c r="C48" s="1105"/>
      <c r="D48" s="1117"/>
      <c r="E48" s="1067"/>
      <c r="F48" s="1093"/>
      <c r="G48" s="1093"/>
      <c r="H48" s="1101"/>
      <c r="I48" s="1064"/>
      <c r="J48" s="1093"/>
      <c r="K48" s="1076"/>
      <c r="L48" s="1093"/>
      <c r="M48" s="1105"/>
      <c r="N48" s="1067"/>
      <c r="O48" s="1064"/>
      <c r="P48" s="1067"/>
    </row>
    <row r="49" spans="1:16" ht="15">
      <c r="A49" s="1077"/>
      <c r="B49" s="1105"/>
      <c r="C49" s="1105"/>
      <c r="D49" s="1117"/>
      <c r="E49" s="1067"/>
      <c r="F49" s="1093"/>
      <c r="G49" s="1093"/>
      <c r="H49" s="1101"/>
      <c r="I49" s="1064"/>
      <c r="J49" s="1093"/>
      <c r="K49" s="1076"/>
      <c r="L49" s="1093"/>
      <c r="M49" s="1105"/>
      <c r="N49" s="1067"/>
      <c r="O49" s="1064"/>
      <c r="P49" s="1067"/>
    </row>
    <row r="50" spans="1:16" ht="15">
      <c r="A50" s="1271" t="s">
        <v>1069</v>
      </c>
      <c r="B50" s="1271"/>
      <c r="C50" s="1271"/>
      <c r="D50" s="1271"/>
      <c r="E50" s="1271"/>
      <c r="F50" s="1271"/>
      <c r="G50" s="1271"/>
      <c r="H50" s="1271"/>
      <c r="I50" s="1064"/>
      <c r="J50" s="1064"/>
      <c r="K50" s="1064"/>
      <c r="L50" s="1064"/>
      <c r="M50" s="1105"/>
      <c r="N50" s="1067"/>
      <c r="O50" s="1064"/>
      <c r="P50" s="1067"/>
    </row>
    <row r="51" spans="1:16" ht="15">
      <c r="A51" s="1271"/>
      <c r="B51" s="1271"/>
      <c r="C51" s="1271"/>
      <c r="D51" s="1271"/>
      <c r="E51" s="1271"/>
      <c r="F51" s="1271"/>
      <c r="G51" s="1271"/>
      <c r="H51" s="1271"/>
      <c r="I51" s="1064"/>
      <c r="J51" s="1064"/>
      <c r="K51" s="1064"/>
      <c r="L51" s="1064"/>
      <c r="M51" s="1105"/>
      <c r="N51" s="1067"/>
      <c r="O51" s="1064"/>
      <c r="P51" s="1067"/>
    </row>
    <row r="52" spans="1:16" ht="15">
      <c r="A52" s="1271"/>
      <c r="B52" s="1271"/>
      <c r="C52" s="1271"/>
      <c r="D52" s="1271"/>
      <c r="E52" s="1271"/>
      <c r="F52" s="1271"/>
      <c r="G52" s="1271"/>
      <c r="H52" s="1271"/>
      <c r="I52" s="1064"/>
      <c r="J52" s="1064"/>
      <c r="K52" s="1064"/>
      <c r="L52" s="1064"/>
      <c r="M52" s="1105"/>
      <c r="N52" s="1067"/>
      <c r="O52" s="1064"/>
      <c r="P52" s="1067"/>
    </row>
    <row r="53" spans="1:16" ht="15">
      <c r="A53" s="1271"/>
      <c r="B53" s="1271"/>
      <c r="C53" s="1271"/>
      <c r="D53" s="1271"/>
      <c r="E53" s="1271"/>
      <c r="F53" s="1271"/>
      <c r="G53" s="1271"/>
      <c r="H53" s="1271"/>
      <c r="I53" s="1064"/>
      <c r="J53" s="1064"/>
      <c r="K53" s="1064"/>
      <c r="L53" s="1064"/>
      <c r="M53" s="1105"/>
      <c r="N53" s="1067"/>
      <c r="O53" s="1064"/>
      <c r="P53" s="1067"/>
    </row>
    <row r="54" spans="1:16" ht="15">
      <c r="A54" s="1077"/>
      <c r="B54" s="1105"/>
      <c r="C54" s="1105"/>
      <c r="D54" s="1105"/>
      <c r="E54" s="1105"/>
      <c r="F54" s="1064"/>
      <c r="G54" s="1064"/>
      <c r="H54" s="1064"/>
      <c r="I54" s="1064"/>
      <c r="J54" s="1064"/>
      <c r="K54" s="1064"/>
      <c r="L54" s="1064"/>
      <c r="M54" s="1105"/>
      <c r="N54" s="1067"/>
      <c r="O54" s="1064"/>
      <c r="P54" s="1067"/>
    </row>
    <row r="55" spans="1:16" ht="15">
      <c r="A55" s="1063" t="s">
        <v>1070</v>
      </c>
      <c r="B55" s="1271" t="s">
        <v>1071</v>
      </c>
      <c r="C55" s="1271"/>
      <c r="D55" s="1271"/>
      <c r="E55" s="1271"/>
      <c r="F55" s="1271"/>
      <c r="G55" s="1271"/>
      <c r="H55" s="1271"/>
      <c r="I55" s="1064"/>
      <c r="J55" s="1064"/>
      <c r="K55" s="1064"/>
      <c r="L55" s="1064"/>
      <c r="M55" s="1105"/>
      <c r="N55" s="1067"/>
      <c r="O55" s="1064"/>
      <c r="P55" s="1067"/>
    </row>
    <row r="56" spans="1:16" ht="15">
      <c r="A56" s="1105"/>
      <c r="B56" s="1271"/>
      <c r="C56" s="1271"/>
      <c r="D56" s="1271"/>
      <c r="E56" s="1271"/>
      <c r="F56" s="1271"/>
      <c r="G56" s="1271"/>
      <c r="H56" s="1271"/>
      <c r="I56" s="1064"/>
      <c r="J56" s="1064"/>
      <c r="K56" s="1064"/>
      <c r="L56" s="1064"/>
      <c r="M56" s="1105"/>
      <c r="N56" s="1067"/>
      <c r="O56" s="1064"/>
      <c r="P56" s="1067"/>
    </row>
    <row r="57" spans="1:16" ht="15">
      <c r="A57" s="1105"/>
      <c r="B57" s="1271"/>
      <c r="C57" s="1271"/>
      <c r="D57" s="1271"/>
      <c r="E57" s="1271"/>
      <c r="F57" s="1271"/>
      <c r="G57" s="1271"/>
      <c r="H57" s="1271"/>
      <c r="I57" s="1064"/>
      <c r="J57" s="1064"/>
      <c r="K57" s="1064"/>
      <c r="L57" s="1064"/>
      <c r="M57" s="1105"/>
      <c r="N57" s="1067"/>
      <c r="O57" s="1064"/>
      <c r="P57" s="1067"/>
    </row>
    <row r="58" spans="1:16" ht="15.75">
      <c r="A58" s="1064"/>
      <c r="B58" s="1105"/>
      <c r="C58" s="1105"/>
      <c r="D58" s="1105"/>
      <c r="E58" s="1105"/>
      <c r="F58" s="1105"/>
      <c r="G58" s="1105"/>
      <c r="H58" s="1105"/>
      <c r="I58" s="1074"/>
      <c r="J58" s="1067"/>
      <c r="K58" s="1067"/>
      <c r="L58" s="1067"/>
      <c r="M58" s="1067"/>
      <c r="N58" s="1067"/>
      <c r="O58" s="1105"/>
      <c r="P58" s="1105"/>
    </row>
    <row r="59" spans="1:16" ht="15">
      <c r="A59" s="1063" t="s">
        <v>1072</v>
      </c>
      <c r="B59" s="1271" t="s">
        <v>1093</v>
      </c>
      <c r="C59" s="1271"/>
      <c r="D59" s="1271"/>
      <c r="E59" s="1271"/>
      <c r="F59" s="1271"/>
      <c r="G59" s="1271"/>
      <c r="H59" s="1271"/>
      <c r="I59" s="1105"/>
      <c r="J59" s="1067"/>
      <c r="K59" s="1067"/>
      <c r="L59" s="1067"/>
      <c r="M59" s="1067"/>
      <c r="N59" s="1067"/>
      <c r="O59" s="1105"/>
      <c r="P59" s="1105"/>
    </row>
    <row r="60" spans="1:16" ht="15">
      <c r="A60" s="1105"/>
      <c r="B60" s="1271"/>
      <c r="C60" s="1271"/>
      <c r="D60" s="1271"/>
      <c r="E60" s="1271"/>
      <c r="F60" s="1271"/>
      <c r="G60" s="1271"/>
      <c r="H60" s="1271"/>
      <c r="I60" s="1105"/>
      <c r="J60" s="1067"/>
      <c r="K60" s="1067"/>
      <c r="L60" s="1067"/>
      <c r="M60" s="1067"/>
      <c r="N60" s="1067"/>
      <c r="O60" s="1105"/>
      <c r="P60" s="1105"/>
    </row>
    <row r="61" spans="1:16" ht="15">
      <c r="A61" s="1064"/>
      <c r="B61" s="1105"/>
      <c r="C61" s="1105"/>
      <c r="D61" s="1105"/>
      <c r="E61" s="1105"/>
      <c r="F61" s="1105"/>
      <c r="G61" s="1105"/>
      <c r="H61" s="1105"/>
      <c r="I61" s="1105"/>
      <c r="J61" s="1067"/>
      <c r="K61" s="1067"/>
      <c r="L61" s="1067"/>
      <c r="M61" s="1067"/>
      <c r="N61" s="1067"/>
      <c r="O61" s="1105"/>
      <c r="P61" s="1105"/>
    </row>
    <row r="62" spans="1:16" ht="15">
      <c r="A62" s="1063" t="s">
        <v>1074</v>
      </c>
      <c r="B62" s="1276" t="s">
        <v>1094</v>
      </c>
      <c r="C62" s="1276"/>
      <c r="D62" s="1276"/>
      <c r="E62" s="1276"/>
      <c r="F62" s="1276"/>
      <c r="G62" s="1276"/>
      <c r="H62" s="1276"/>
      <c r="I62" s="1276"/>
      <c r="J62" s="1067"/>
      <c r="K62" s="1067"/>
      <c r="L62" s="1067"/>
      <c r="M62" s="1067"/>
      <c r="N62" s="1067"/>
      <c r="O62" s="1105"/>
      <c r="P62" s="1105"/>
    </row>
    <row r="63" spans="1:16" ht="15.75">
      <c r="A63" s="1102"/>
      <c r="B63" s="1276"/>
      <c r="C63" s="1276"/>
      <c r="D63" s="1276"/>
      <c r="E63" s="1276"/>
      <c r="F63" s="1276"/>
      <c r="G63" s="1276"/>
      <c r="H63" s="1276"/>
      <c r="I63" s="1276"/>
      <c r="J63" s="1067"/>
      <c r="K63" s="1067"/>
      <c r="L63" s="1067"/>
      <c r="M63" s="1067"/>
      <c r="N63" s="1067"/>
      <c r="O63" s="1105"/>
      <c r="P63" s="1105"/>
    </row>
    <row r="64" spans="1:16" ht="15">
      <c r="A64" s="1064"/>
      <c r="B64" s="1105"/>
      <c r="C64" s="1105"/>
      <c r="D64" s="1105"/>
      <c r="E64" s="1105"/>
      <c r="F64" s="1105"/>
      <c r="G64" s="1105"/>
      <c r="H64" s="1105"/>
      <c r="I64" s="1105"/>
      <c r="J64" s="1067"/>
      <c r="K64" s="1067"/>
      <c r="L64" s="1067"/>
      <c r="M64" s="1067"/>
      <c r="N64" s="1067"/>
      <c r="O64" s="1105"/>
      <c r="P64" s="1105"/>
    </row>
    <row r="65" spans="1:16" ht="15">
      <c r="A65" s="1064" t="s">
        <v>1076</v>
      </c>
      <c r="B65" s="1272" t="s">
        <v>1095</v>
      </c>
      <c r="C65" s="1272"/>
      <c r="D65" s="1272"/>
      <c r="E65" s="1272"/>
      <c r="F65" s="1272"/>
      <c r="G65" s="1105"/>
      <c r="H65" s="1105"/>
      <c r="I65" s="1105"/>
      <c r="J65" s="1067"/>
      <c r="K65" s="1067"/>
      <c r="L65" s="1067"/>
      <c r="M65" s="1067"/>
      <c r="N65" s="1067"/>
      <c r="O65" s="1105"/>
      <c r="P65" s="1105"/>
    </row>
    <row r="66" spans="1:16" ht="15">
      <c r="A66" s="1105"/>
      <c r="B66" s="1272"/>
      <c r="C66" s="1272"/>
      <c r="D66" s="1272"/>
      <c r="E66" s="1272"/>
      <c r="F66" s="1272"/>
      <c r="G66" s="1105"/>
      <c r="H66" s="1105"/>
      <c r="I66" s="1105"/>
      <c r="J66" s="1067"/>
      <c r="K66" s="1067"/>
      <c r="L66" s="1067"/>
      <c r="M66" s="1067"/>
      <c r="N66" s="1067"/>
      <c r="O66" s="1105"/>
      <c r="P66" s="1105"/>
    </row>
    <row r="67" spans="1:16" ht="15">
      <c r="A67" s="1064"/>
      <c r="B67" s="1105"/>
      <c r="C67" s="1105"/>
      <c r="D67" s="1105"/>
      <c r="E67" s="1105"/>
      <c r="F67" s="1105"/>
      <c r="G67" s="1105"/>
      <c r="H67" s="1105"/>
      <c r="I67" s="1105"/>
      <c r="J67" s="1067"/>
      <c r="K67" s="1067"/>
      <c r="L67" s="1067"/>
      <c r="M67" s="1067"/>
      <c r="N67" s="1067"/>
      <c r="O67" s="1105"/>
      <c r="P67" s="1105"/>
    </row>
    <row r="68" spans="1:16" ht="15">
      <c r="A68" s="1064"/>
      <c r="B68" s="1105"/>
      <c r="C68" s="1105"/>
      <c r="D68" s="1105"/>
      <c r="E68" s="1105"/>
      <c r="F68" s="1105"/>
      <c r="G68" s="1105"/>
      <c r="H68" s="1105"/>
      <c r="I68" s="1105"/>
      <c r="J68" s="1067"/>
      <c r="K68" s="1067"/>
      <c r="L68" s="1067"/>
      <c r="M68" s="1067"/>
      <c r="N68" s="1067"/>
      <c r="O68" s="1105"/>
      <c r="P68" s="1105"/>
    </row>
    <row r="69" spans="1:16" ht="15">
      <c r="A69" s="1105"/>
      <c r="B69" s="1105"/>
      <c r="C69" s="1105"/>
      <c r="D69" s="1105"/>
      <c r="E69" s="1103"/>
      <c r="F69" s="1105"/>
      <c r="G69" s="1105"/>
      <c r="H69" s="1105"/>
      <c r="I69" s="1067"/>
      <c r="J69" s="1067"/>
      <c r="K69" s="1067"/>
      <c r="L69" s="1067"/>
      <c r="M69" s="1105"/>
      <c r="N69" s="1105"/>
      <c r="O69" s="1105"/>
      <c r="P69" s="1105"/>
    </row>
    <row r="70" spans="1:16" ht="15">
      <c r="A70" s="1105"/>
      <c r="B70" s="1105"/>
      <c r="C70" s="1105"/>
      <c r="D70" s="1105"/>
      <c r="E70" s="1105"/>
      <c r="F70" s="1105"/>
      <c r="G70" s="1104"/>
      <c r="H70" s="1104"/>
      <c r="I70" s="1067"/>
      <c r="J70" s="1067"/>
      <c r="K70" s="1067"/>
      <c r="L70" s="1067"/>
      <c r="M70" s="1105"/>
      <c r="N70" s="1105"/>
      <c r="O70" s="1105"/>
      <c r="P70" s="1105"/>
    </row>
    <row r="71" spans="1:16" ht="15">
      <c r="A71" s="1105"/>
      <c r="B71" s="1105"/>
      <c r="C71" s="1105"/>
      <c r="D71" s="1105"/>
      <c r="E71" s="1105"/>
      <c r="F71" s="1105"/>
      <c r="G71" s="1104"/>
      <c r="H71" s="1104"/>
      <c r="I71" s="1067"/>
      <c r="J71" s="1105"/>
      <c r="K71" s="1105"/>
      <c r="L71" s="1105"/>
      <c r="M71" s="1105"/>
      <c r="N71" s="1105"/>
      <c r="O71" s="1105"/>
      <c r="P71" s="1105"/>
    </row>
    <row r="72" spans="1:16" ht="15">
      <c r="A72" s="1105"/>
      <c r="B72" s="1105"/>
      <c r="C72" s="1105"/>
      <c r="D72" s="1105"/>
      <c r="E72" s="1105"/>
      <c r="F72" s="1105"/>
      <c r="G72" s="1105"/>
      <c r="H72" s="1105"/>
      <c r="I72" s="1105"/>
      <c r="J72" s="1105"/>
      <c r="K72" s="1105"/>
      <c r="L72" s="1105"/>
      <c r="M72" s="1105"/>
      <c r="N72" s="1105"/>
      <c r="O72" s="1105"/>
      <c r="P72" s="1105"/>
    </row>
    <row r="75" spans="1:16" ht="15.75">
      <c r="A75" s="1102"/>
      <c r="B75" s="1074"/>
      <c r="C75" s="1074"/>
      <c r="D75" s="1118"/>
      <c r="E75" s="1074"/>
      <c r="F75" s="1074"/>
      <c r="G75" s="1074"/>
      <c r="H75" s="1074"/>
      <c r="I75" s="1074"/>
      <c r="J75" s="1074"/>
      <c r="K75" s="1074"/>
      <c r="L75" s="1074"/>
      <c r="M75" s="1074"/>
      <c r="N75" s="1074"/>
      <c r="O75" s="1074"/>
      <c r="P75" s="1105"/>
    </row>
    <row r="76" spans="1:16" ht="15.75">
      <c r="A76" s="1102"/>
      <c r="B76" s="1074"/>
      <c r="C76" s="1074"/>
      <c r="D76" s="1118"/>
      <c r="E76" s="1074"/>
      <c r="F76" s="1074"/>
      <c r="G76" s="1074"/>
      <c r="H76" s="1074"/>
      <c r="I76" s="1074"/>
      <c r="J76" s="1074"/>
      <c r="K76" s="1074"/>
      <c r="L76" s="1074"/>
      <c r="M76" s="1074"/>
      <c r="N76" s="1074"/>
      <c r="O76" s="1074"/>
      <c r="P76" s="1105"/>
    </row>
    <row r="77" spans="1:16" ht="15.75">
      <c r="A77" s="1102"/>
      <c r="B77" s="1074"/>
      <c r="C77" s="1074"/>
      <c r="D77" s="1118"/>
      <c r="E77" s="1074"/>
      <c r="F77" s="1074"/>
      <c r="G77" s="1074"/>
      <c r="H77" s="1074"/>
      <c r="I77" s="1074"/>
      <c r="J77" s="1074"/>
      <c r="K77" s="1074"/>
      <c r="L77" s="1074"/>
      <c r="M77" s="1074"/>
      <c r="N77" s="1074"/>
      <c r="O77" s="1074"/>
      <c r="P77" s="1105"/>
    </row>
    <row r="78" spans="1:16" ht="15">
      <c r="A78" s="1102"/>
      <c r="B78" s="1074"/>
      <c r="C78" s="1074"/>
      <c r="D78" s="1118"/>
      <c r="E78" s="1074"/>
      <c r="F78" s="1074"/>
      <c r="G78" s="1074"/>
      <c r="H78" s="1074"/>
      <c r="I78" s="1074"/>
      <c r="J78" s="1074"/>
      <c r="K78" s="1074"/>
      <c r="L78" s="1074"/>
      <c r="M78" s="1074"/>
      <c r="N78" s="1074"/>
      <c r="O78" s="1074"/>
      <c r="P78" s="1067"/>
    </row>
    <row r="79" spans="1:16" ht="15">
      <c r="A79" s="1102"/>
      <c r="B79" s="1074"/>
      <c r="C79" s="1074"/>
      <c r="D79" s="1118"/>
      <c r="E79" s="1074"/>
      <c r="F79" s="1074"/>
      <c r="G79" s="1074"/>
      <c r="H79" s="1074"/>
      <c r="I79" s="1074"/>
      <c r="J79" s="1074"/>
      <c r="K79" s="1074"/>
      <c r="L79" s="1074"/>
      <c r="M79" s="1074"/>
      <c r="N79" s="1074"/>
      <c r="O79" s="1074"/>
      <c r="P79" s="1067"/>
    </row>
    <row r="80" spans="1:16" ht="15">
      <c r="A80" s="1102"/>
      <c r="B80" s="1074"/>
      <c r="C80" s="1074"/>
      <c r="D80" s="1118"/>
      <c r="E80" s="1074"/>
      <c r="F80" s="1074"/>
      <c r="G80" s="1074"/>
      <c r="H80" s="1074"/>
      <c r="I80" s="1074"/>
      <c r="J80" s="1074"/>
      <c r="K80" s="1074"/>
      <c r="L80" s="1074"/>
      <c r="M80" s="1074"/>
      <c r="N80" s="1074"/>
      <c r="O80" s="1074"/>
      <c r="P80" s="1067"/>
    </row>
    <row r="81" spans="1:16" ht="15">
      <c r="A81" s="1102"/>
      <c r="B81" s="1074"/>
      <c r="C81" s="1074"/>
      <c r="D81" s="1118"/>
      <c r="E81" s="1074"/>
      <c r="F81" s="1074"/>
      <c r="G81" s="1074"/>
      <c r="H81" s="1074"/>
      <c r="I81" s="1074"/>
      <c r="J81" s="1074"/>
      <c r="K81" s="1074"/>
      <c r="L81" s="1074"/>
      <c r="M81" s="1074"/>
      <c r="N81" s="1074"/>
      <c r="O81" s="1074"/>
      <c r="P81" s="1067"/>
    </row>
    <row r="82" spans="1:16" ht="15">
      <c r="A82" s="1102"/>
      <c r="B82" s="1074"/>
      <c r="C82" s="1074"/>
      <c r="D82" s="1118"/>
      <c r="E82" s="1074"/>
      <c r="F82" s="1074"/>
      <c r="G82" s="1074"/>
      <c r="H82" s="1074"/>
      <c r="I82" s="1074"/>
      <c r="J82" s="1074"/>
      <c r="K82" s="1074"/>
      <c r="L82" s="1074"/>
      <c r="M82" s="1074"/>
      <c r="N82" s="1074"/>
      <c r="O82" s="1074"/>
      <c r="P82" s="1067"/>
    </row>
    <row r="83" spans="1:16" ht="15">
      <c r="A83" s="1102"/>
      <c r="B83" s="1074"/>
      <c r="C83" s="1074"/>
      <c r="D83" s="1118"/>
      <c r="E83" s="1074"/>
      <c r="F83" s="1074"/>
      <c r="G83" s="1074"/>
      <c r="H83" s="1074"/>
      <c r="I83" s="1074"/>
      <c r="J83" s="1074"/>
      <c r="K83" s="1074"/>
      <c r="L83" s="1074"/>
      <c r="M83" s="1074"/>
      <c r="N83" s="1074"/>
      <c r="O83" s="1074"/>
      <c r="P83" s="1067"/>
    </row>
    <row r="84" spans="1:16" ht="15">
      <c r="A84" s="1102"/>
      <c r="B84" s="1074"/>
      <c r="C84" s="1074"/>
      <c r="D84" s="1118"/>
      <c r="E84" s="1074"/>
      <c r="F84" s="1074"/>
      <c r="G84" s="1074"/>
      <c r="H84" s="1074"/>
      <c r="I84" s="1074"/>
      <c r="J84" s="1074"/>
      <c r="K84" s="1074"/>
      <c r="L84" s="1074"/>
      <c r="M84" s="1074"/>
      <c r="N84" s="1074"/>
      <c r="O84" s="1074"/>
      <c r="P84" s="1067"/>
    </row>
    <row r="85" spans="1:16" ht="15">
      <c r="A85" s="1102"/>
      <c r="B85" s="1074"/>
      <c r="C85" s="1074"/>
      <c r="D85" s="1118"/>
      <c r="E85" s="1074"/>
      <c r="F85" s="1074"/>
      <c r="G85" s="1074"/>
      <c r="H85" s="1074"/>
      <c r="I85" s="1074"/>
      <c r="J85" s="1074"/>
      <c r="K85" s="1074"/>
      <c r="L85" s="1074"/>
      <c r="M85" s="1074"/>
      <c r="N85" s="1074"/>
      <c r="O85" s="1074"/>
      <c r="P85" s="1067"/>
    </row>
    <row r="86" spans="1:16" ht="15">
      <c r="A86" s="1102"/>
      <c r="B86" s="1074"/>
      <c r="C86" s="1074"/>
      <c r="D86" s="1118"/>
      <c r="E86" s="1074"/>
      <c r="F86" s="1074"/>
      <c r="G86" s="1074"/>
      <c r="H86" s="1074"/>
      <c r="I86" s="1074"/>
      <c r="J86" s="1074"/>
      <c r="K86" s="1074"/>
      <c r="L86" s="1074"/>
      <c r="M86" s="1074"/>
      <c r="N86" s="1074"/>
      <c r="O86" s="1074"/>
      <c r="P86" s="1067"/>
    </row>
    <row r="87" spans="1:16" ht="15.75">
      <c r="A87" s="1102"/>
      <c r="B87" s="1074"/>
      <c r="C87" s="1074"/>
      <c r="D87" s="1118"/>
      <c r="E87" s="1074"/>
      <c r="F87" s="1074"/>
      <c r="G87" s="1074"/>
      <c r="H87" s="1074"/>
      <c r="I87" s="1074"/>
      <c r="J87" s="1074"/>
      <c r="K87" s="1074"/>
      <c r="L87" s="1074"/>
      <c r="M87" s="1074"/>
      <c r="N87" s="1074"/>
      <c r="O87" s="1074"/>
      <c r="P87" s="1105"/>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77"/>
  <sheetViews>
    <sheetView view="pageBreakPreview" topLeftCell="A10" zoomScaleNormal="85" zoomScaleSheetLayoutView="100" workbookViewId="0">
      <selection activeCell="A19" sqref="A19:I19"/>
    </sheetView>
  </sheetViews>
  <sheetFormatPr defaultColWidth="11.42578125" defaultRowHeight="12.75"/>
  <cols>
    <col min="1" max="1" width="8.140625" style="53" customWidth="1"/>
    <col min="2" max="2" width="16.5703125" style="52" bestFit="1" customWidth="1"/>
    <col min="3" max="3" width="44.140625" style="52" customWidth="1"/>
    <col min="4" max="4" width="29.7109375" style="52" customWidth="1"/>
    <col min="5" max="5" width="24.28515625" style="52" customWidth="1"/>
    <col min="6" max="6" width="1" style="52" customWidth="1"/>
    <col min="7" max="7" width="20.85546875" style="52" customWidth="1"/>
    <col min="8" max="8" width="1" style="52" customWidth="1"/>
    <col min="9" max="9" width="19.140625" style="52" customWidth="1"/>
    <col min="10" max="10" width="16.7109375" style="52" customWidth="1"/>
    <col min="11" max="11" width="15.28515625" style="52" customWidth="1"/>
    <col min="12" max="12" width="33.5703125" style="52" customWidth="1"/>
    <col min="13" max="14" width="13.42578125" style="52" customWidth="1"/>
    <col min="15" max="15" width="13.7109375" style="52" customWidth="1"/>
    <col min="16" max="16384" width="11.42578125" style="52"/>
  </cols>
  <sheetData>
    <row r="1" spans="1:15" ht="15.75">
      <c r="A1" s="645" t="s">
        <v>114</v>
      </c>
    </row>
    <row r="2" spans="1:15" ht="15.75">
      <c r="A2" s="645" t="s">
        <v>114</v>
      </c>
    </row>
    <row r="3" spans="1:15" ht="15">
      <c r="A3" s="1251" t="str">
        <f>+'WS B ADIT &amp; ITC'!A3:I3</f>
        <v>AEP East Companies</v>
      </c>
      <c r="B3" s="1251"/>
      <c r="C3" s="1251"/>
      <c r="D3" s="1251"/>
      <c r="E3" s="1251"/>
      <c r="F3" s="1251"/>
      <c r="G3" s="1251"/>
      <c r="H3" s="1251"/>
      <c r="I3" s="1251"/>
      <c r="J3" s="1251"/>
      <c r="K3" s="1251"/>
      <c r="L3" s="1251"/>
      <c r="M3" s="28"/>
      <c r="N3" s="28"/>
      <c r="O3" s="28"/>
    </row>
    <row r="4" spans="1:15" ht="15">
      <c r="A4" s="1252" t="str">
        <f>"Cost of Service Formula Rate Using Actual/Projected FF1 Balances"</f>
        <v>Cost of Service Formula Rate Using Actual/Projected FF1 Balances</v>
      </c>
      <c r="B4" s="1252"/>
      <c r="C4" s="1252"/>
      <c r="D4" s="1252"/>
      <c r="E4" s="1252"/>
      <c r="F4" s="1252"/>
      <c r="G4" s="1252"/>
      <c r="H4" s="1252"/>
      <c r="I4" s="1252"/>
      <c r="J4" s="1252"/>
      <c r="K4" s="1252"/>
      <c r="L4" s="1252"/>
      <c r="M4" s="73"/>
      <c r="N4" s="73"/>
      <c r="O4" s="73"/>
    </row>
    <row r="5" spans="1:15" ht="15">
      <c r="A5" s="1252" t="s">
        <v>495</v>
      </c>
      <c r="B5" s="1252"/>
      <c r="C5" s="1252"/>
      <c r="D5" s="1252"/>
      <c r="E5" s="1252"/>
      <c r="F5" s="1252"/>
      <c r="G5" s="1252"/>
      <c r="H5" s="1252"/>
      <c r="I5" s="1252"/>
      <c r="J5" s="1252"/>
      <c r="K5" s="1252"/>
      <c r="L5" s="1252"/>
      <c r="M5" s="72"/>
      <c r="N5" s="72"/>
      <c r="O5" s="72"/>
    </row>
    <row r="6" spans="1:15" ht="15">
      <c r="A6" s="1260" t="str">
        <f>TCOS!F9</f>
        <v>WHEELING POWER COMPANY</v>
      </c>
      <c r="B6" s="1260"/>
      <c r="C6" s="1260"/>
      <c r="D6" s="1260"/>
      <c r="E6" s="1260"/>
      <c r="F6" s="1260"/>
      <c r="G6" s="1260"/>
      <c r="H6" s="1260"/>
      <c r="I6" s="1260"/>
      <c r="J6" s="1260"/>
      <c r="K6" s="1260"/>
      <c r="L6" s="1260"/>
      <c r="M6" s="2"/>
      <c r="N6" s="2"/>
      <c r="O6" s="2"/>
    </row>
    <row r="7" spans="1:15" ht="15">
      <c r="A7" s="2"/>
      <c r="B7" s="2"/>
      <c r="C7" s="2"/>
      <c r="D7" s="2"/>
      <c r="E7" s="2"/>
      <c r="F7" s="2"/>
      <c r="G7" s="2"/>
      <c r="H7"/>
    </row>
    <row r="8" spans="1:15" ht="12.75" customHeight="1">
      <c r="A8" s="61"/>
      <c r="B8" s="61" t="s">
        <v>162</v>
      </c>
      <c r="C8" s="61" t="s">
        <v>163</v>
      </c>
      <c r="D8" s="61" t="s">
        <v>4</v>
      </c>
      <c r="E8" s="61" t="s">
        <v>165</v>
      </c>
      <c r="F8" s="61"/>
      <c r="G8" s="61" t="s">
        <v>84</v>
      </c>
      <c r="H8" s="61"/>
      <c r="I8" s="61" t="s">
        <v>85</v>
      </c>
      <c r="J8" s="61" t="s">
        <v>86</v>
      </c>
      <c r="K8" s="61" t="s">
        <v>91</v>
      </c>
      <c r="L8" s="61" t="s">
        <v>500</v>
      </c>
      <c r="M8" s="61"/>
      <c r="N8" s="61"/>
      <c r="O8" s="61"/>
    </row>
    <row r="9" spans="1:15">
      <c r="A9" s="51"/>
    </row>
    <row r="10" spans="1:15" ht="18">
      <c r="A10" s="55"/>
      <c r="B10" s="1277" t="s">
        <v>207</v>
      </c>
      <c r="C10" s="1277"/>
      <c r="D10" s="1277"/>
      <c r="E10" s="1277"/>
      <c r="F10" s="1277"/>
      <c r="G10" s="1277"/>
      <c r="H10" s="1277"/>
      <c r="I10" s="1277"/>
      <c r="J10" s="1277"/>
      <c r="K10" s="1277"/>
    </row>
    <row r="11" spans="1:15">
      <c r="A11" s="55"/>
      <c r="I11"/>
      <c r="J11"/>
    </row>
    <row r="12" spans="1:15" ht="12.75" customHeight="1">
      <c r="A12" s="8" t="s">
        <v>169</v>
      </c>
      <c r="B12" s="55"/>
      <c r="C12" s="60"/>
      <c r="D12" s="148"/>
      <c r="E12" s="1258" t="str">
        <f>"Balance @ December 31, "&amp;TCOS!L4&amp;""</f>
        <v>Balance @ December 31, 2026</v>
      </c>
      <c r="F12" s="148"/>
      <c r="G12" s="1258" t="str">
        <f>"Balance @ December 31, "&amp;TCOS!L4-1&amp;""</f>
        <v>Balance @ December 31, 2025</v>
      </c>
      <c r="H12" s="193"/>
      <c r="I12" s="1261" t="str">
        <f>"Average Balance for "&amp;TCOS!L4&amp;""</f>
        <v>Average Balance for 2026</v>
      </c>
      <c r="J12" s="3"/>
      <c r="L12" s="61"/>
    </row>
    <row r="13" spans="1:15">
      <c r="A13" s="8" t="s">
        <v>106</v>
      </c>
      <c r="B13" s="53"/>
      <c r="C13" s="55"/>
      <c r="D13" s="149" t="s">
        <v>206</v>
      </c>
      <c r="E13" s="1259"/>
      <c r="F13" s="150"/>
      <c r="G13" s="1259"/>
      <c r="H13" s="151"/>
      <c r="I13" s="1259"/>
      <c r="J13" s="3"/>
      <c r="K13" s="62"/>
      <c r="L13" s="63"/>
      <c r="M13" s="56"/>
      <c r="N13" s="56"/>
    </row>
    <row r="14" spans="1:15">
      <c r="B14" s="53"/>
      <c r="C14" s="55"/>
      <c r="D14" s="59"/>
      <c r="E14" s="54"/>
      <c r="F14" s="54"/>
      <c r="G14" s="168"/>
      <c r="H14" s="58"/>
      <c r="J14"/>
      <c r="K14" s="62"/>
      <c r="L14" s="63"/>
      <c r="M14" s="56"/>
      <c r="N14" s="56"/>
    </row>
    <row r="15" spans="1:15">
      <c r="A15" s="53">
        <v>1</v>
      </c>
      <c r="B15" s="53"/>
      <c r="D15" s="47"/>
      <c r="E15" s="15"/>
      <c r="F15" s="15"/>
      <c r="G15" s="15"/>
      <c r="H15" s="15"/>
      <c r="I15" s="15"/>
      <c r="K15" s="15"/>
      <c r="L15" s="15"/>
      <c r="M15" s="56"/>
      <c r="N15" s="56"/>
    </row>
    <row r="16" spans="1:15">
      <c r="B16" s="53"/>
      <c r="C16" s="47"/>
      <c r="D16" s="47"/>
      <c r="E16" s="15"/>
      <c r="F16" s="15"/>
      <c r="G16" s="15"/>
      <c r="H16" s="15"/>
      <c r="I16" s="15"/>
      <c r="K16" s="15"/>
      <c r="L16" s="15"/>
      <c r="M16" s="56"/>
      <c r="N16" s="56"/>
    </row>
    <row r="17" spans="1:14">
      <c r="A17" s="53">
        <f>+A15+1</f>
        <v>2</v>
      </c>
      <c r="B17" s="53"/>
      <c r="C17" s="47" t="s">
        <v>526</v>
      </c>
      <c r="D17" s="57" t="s">
        <v>435</v>
      </c>
      <c r="E17" s="605">
        <v>1759</v>
      </c>
      <c r="F17" s="15"/>
      <c r="G17" s="605">
        <v>1759</v>
      </c>
      <c r="H17" s="15"/>
      <c r="I17" s="106">
        <f>IF(G17="",0,(E17+G17)/2)</f>
        <v>1759</v>
      </c>
      <c r="J17"/>
      <c r="K17" s="106"/>
      <c r="L17" s="15"/>
      <c r="M17" s="56"/>
      <c r="N17" s="56"/>
    </row>
    <row r="18" spans="1:14">
      <c r="B18" s="53"/>
      <c r="C18" s="47"/>
      <c r="D18"/>
      <c r="E18"/>
      <c r="F18"/>
      <c r="G18"/>
      <c r="H18"/>
      <c r="I18" s="3"/>
      <c r="J18"/>
      <c r="K18"/>
      <c r="L18" s="15"/>
      <c r="M18" s="56"/>
      <c r="N18" s="56"/>
    </row>
    <row r="19" spans="1:14">
      <c r="A19" s="1179"/>
      <c r="B19" s="1179"/>
      <c r="C19" s="1180"/>
      <c r="D19" s="1181"/>
      <c r="E19" s="1182"/>
      <c r="F19" s="113"/>
      <c r="G19" s="1182"/>
      <c r="H19" s="192"/>
      <c r="I19" s="1122"/>
      <c r="J19"/>
      <c r="K19"/>
      <c r="L19" s="15"/>
      <c r="M19" s="56"/>
      <c r="N19" s="56"/>
    </row>
    <row r="20" spans="1:14">
      <c r="B20" s="53"/>
      <c r="C20" s="47"/>
      <c r="D20"/>
      <c r="E20"/>
      <c r="F20"/>
      <c r="G20"/>
      <c r="H20"/>
      <c r="I20" s="3"/>
      <c r="J20"/>
      <c r="K20"/>
      <c r="L20" s="15"/>
      <c r="M20" s="56"/>
      <c r="N20" s="56"/>
    </row>
    <row r="21" spans="1:14">
      <c r="A21" s="53">
        <f>+A17+1</f>
        <v>3</v>
      </c>
      <c r="B21" s="53"/>
      <c r="C21" s="47" t="s">
        <v>528</v>
      </c>
      <c r="D21" s="57" t="s">
        <v>436</v>
      </c>
      <c r="E21" s="605">
        <v>10457</v>
      </c>
      <c r="F21" s="15"/>
      <c r="G21" s="605">
        <v>10457</v>
      </c>
      <c r="H21" s="58"/>
      <c r="I21" s="106">
        <f>IF(G21="",0,(E21+G21)/2)</f>
        <v>10457</v>
      </c>
      <c r="J21"/>
      <c r="K21" s="62"/>
      <c r="L21" s="63"/>
      <c r="M21" s="56"/>
      <c r="N21" s="56"/>
    </row>
    <row r="22" spans="1:14">
      <c r="B22" s="53"/>
      <c r="C22" s="47"/>
      <c r="D22" s="57"/>
      <c r="E22"/>
      <c r="F22"/>
      <c r="G22"/>
      <c r="H22"/>
      <c r="I22"/>
      <c r="J22"/>
      <c r="K22" s="62"/>
      <c r="L22" s="63"/>
      <c r="M22" s="56"/>
      <c r="N22" s="56"/>
    </row>
    <row r="23" spans="1:14">
      <c r="A23" s="53">
        <f>+A21+1</f>
        <v>4</v>
      </c>
      <c r="B23" s="53"/>
      <c r="C23" s="47" t="s">
        <v>753</v>
      </c>
      <c r="D23" s="57" t="s">
        <v>437</v>
      </c>
      <c r="E23" s="605"/>
      <c r="F23" s="15"/>
      <c r="G23" s="605"/>
      <c r="H23" s="58"/>
      <c r="I23" s="106">
        <f>IF(G23="",0,(E23+G23)/2)</f>
        <v>0</v>
      </c>
      <c r="J23"/>
      <c r="K23" s="62"/>
      <c r="L23" s="63"/>
      <c r="M23" s="56"/>
      <c r="N23" s="56"/>
    </row>
    <row r="24" spans="1:14">
      <c r="B24" s="53"/>
      <c r="C24" s="55"/>
      <c r="D24" s="59"/>
      <c r="E24" s="54"/>
      <c r="F24" s="54"/>
      <c r="H24" s="58"/>
      <c r="J24"/>
      <c r="K24" s="62"/>
      <c r="L24" s="63"/>
      <c r="M24" s="56"/>
      <c r="N24" s="56"/>
    </row>
    <row r="25" spans="1:14">
      <c r="A25" s="139"/>
      <c r="B25" s="139"/>
      <c r="C25" s="140"/>
      <c r="D25" s="141"/>
      <c r="E25" s="142"/>
      <c r="F25" s="142"/>
      <c r="G25" s="143"/>
      <c r="H25" s="144"/>
      <c r="I25" s="143"/>
      <c r="J25" s="145"/>
      <c r="K25" s="146"/>
      <c r="L25" s="147"/>
      <c r="M25" s="56"/>
      <c r="N25" s="56"/>
    </row>
    <row r="26" spans="1:14" ht="18">
      <c r="B26" s="1277" t="s">
        <v>752</v>
      </c>
      <c r="C26" s="1277"/>
      <c r="D26" s="1277"/>
      <c r="E26" s="1277"/>
      <c r="F26" s="1277"/>
      <c r="G26" s="1277"/>
      <c r="H26" s="1277"/>
      <c r="I26" s="1277"/>
      <c r="J26" s="1277"/>
      <c r="K26" s="1277"/>
      <c r="L26" s="63"/>
      <c r="M26" s="56"/>
      <c r="N26" s="56"/>
    </row>
    <row r="27" spans="1:14" ht="12.75" customHeight="1">
      <c r="B27" s="117"/>
      <c r="C27" s="55"/>
      <c r="D27" s="15"/>
      <c r="E27" s="6"/>
      <c r="G27" s="6" t="s">
        <v>87</v>
      </c>
      <c r="I27" s="4" t="s">
        <v>115</v>
      </c>
      <c r="J27" s="4" t="s">
        <v>115</v>
      </c>
      <c r="K27" s="4" t="s">
        <v>179</v>
      </c>
      <c r="L27" s="63"/>
      <c r="M27" s="56"/>
      <c r="N27" s="56"/>
    </row>
    <row r="28" spans="1:14" ht="12.75" customHeight="1">
      <c r="B28" s="117"/>
      <c r="C28" s="55"/>
      <c r="D28" s="115" t="s">
        <v>501</v>
      </c>
      <c r="E28" s="4" t="s">
        <v>530</v>
      </c>
      <c r="G28" s="4" t="s">
        <v>115</v>
      </c>
      <c r="I28" s="4" t="s">
        <v>523</v>
      </c>
      <c r="J28" s="4" t="s">
        <v>161</v>
      </c>
      <c r="K28" s="4" t="s">
        <v>180</v>
      </c>
      <c r="L28" s="63"/>
      <c r="M28" s="56"/>
      <c r="N28" s="56"/>
    </row>
    <row r="29" spans="1:14" ht="12.75" customHeight="1">
      <c r="A29" s="53">
        <f>+A23+1</f>
        <v>5</v>
      </c>
      <c r="B29" s="117"/>
      <c r="C29" s="55"/>
      <c r="D29" s="8" t="s">
        <v>88</v>
      </c>
      <c r="E29" s="8" t="s">
        <v>502</v>
      </c>
      <c r="G29" s="8" t="s">
        <v>524</v>
      </c>
      <c r="I29" s="8" t="s">
        <v>524</v>
      </c>
      <c r="J29" s="8" t="s">
        <v>524</v>
      </c>
      <c r="K29" s="8" t="s">
        <v>525</v>
      </c>
      <c r="L29" s="63"/>
      <c r="M29" s="56"/>
      <c r="N29" s="56"/>
    </row>
    <row r="30" spans="1:14">
      <c r="B30" s="53"/>
      <c r="C30" s="55"/>
      <c r="D30" s="59"/>
      <c r="E30" s="54"/>
      <c r="F30" s="54"/>
      <c r="H30" s="58"/>
      <c r="J30"/>
      <c r="K30" s="169"/>
      <c r="L30" s="63"/>
      <c r="M30" s="56"/>
      <c r="N30" s="56"/>
    </row>
    <row r="31" spans="1:14">
      <c r="A31" s="53">
        <f>+A29+1</f>
        <v>6</v>
      </c>
      <c r="B31" s="53"/>
      <c r="C31" s="52" t="str">
        <f>"Totals as of December 31, "&amp;TCOS!L4&amp;""</f>
        <v>Totals as of December 31, 2026</v>
      </c>
      <c r="D31" s="118">
        <f>ROUND(D53,0)</f>
        <v>64738319</v>
      </c>
      <c r="E31" s="176">
        <f>ROUND(E53,0)</f>
        <v>1624093</v>
      </c>
      <c r="F31" s="119"/>
      <c r="G31" s="118">
        <f>ROUND(G53,0)</f>
        <v>0</v>
      </c>
      <c r="H31" s="58"/>
      <c r="I31" s="118">
        <f>ROUND(I53,0)</f>
        <v>16482950</v>
      </c>
      <c r="J31" s="120">
        <f>+J53</f>
        <v>46631276.515999988</v>
      </c>
      <c r="K31" s="118">
        <f>ROUND(K53,0)</f>
        <v>63114226</v>
      </c>
      <c r="L31" s="63"/>
      <c r="M31" s="56"/>
      <c r="N31" s="56"/>
    </row>
    <row r="32" spans="1:14">
      <c r="A32" s="53">
        <f>+A31+1</f>
        <v>7</v>
      </c>
      <c r="B32" s="53"/>
      <c r="C32" s="52" t="str">
        <f>"Totals as of December 31, "&amp;TCOS!L4-1&amp;""</f>
        <v>Totals as of December 31, 2025</v>
      </c>
      <c r="D32" s="123">
        <f>IF(D74="","",D74)</f>
        <v>43345109.649017647</v>
      </c>
      <c r="E32" s="177">
        <f>IF(E74="","",E74)</f>
        <v>-13774215.865313239</v>
      </c>
      <c r="F32" s="54"/>
      <c r="G32" s="123" t="str">
        <f>IF(G74="","",G74)</f>
        <v/>
      </c>
      <c r="H32" s="58"/>
      <c r="I32" s="123">
        <f>IF(I74="","",I74)</f>
        <v>11036048.998330886</v>
      </c>
      <c r="J32" s="123">
        <f>IF(J74="","",J74)</f>
        <v>46083276.515999988</v>
      </c>
      <c r="K32" s="123">
        <f>IF(K74="","",K74)</f>
        <v>57119325.514330879</v>
      </c>
      <c r="L32" s="63"/>
      <c r="M32" s="56"/>
      <c r="N32" s="56"/>
    </row>
    <row r="33" spans="1:14" ht="13.5" thickBot="1">
      <c r="A33" s="53">
        <f>+A32+1</f>
        <v>8</v>
      </c>
      <c r="B33" s="53"/>
      <c r="C33" s="60" t="s">
        <v>213</v>
      </c>
      <c r="D33" s="124">
        <f>IF(D32="",0,(D31+D32)/2)</f>
        <v>54041714.324508823</v>
      </c>
      <c r="E33" s="124">
        <f>IF(E32="",0,(E31+E32)/2)</f>
        <v>-6075061.4326566197</v>
      </c>
      <c r="F33" s="125"/>
      <c r="G33" s="124">
        <f>IF(G32="",0,(G31+G32)/2)</f>
        <v>0</v>
      </c>
      <c r="H33" s="70"/>
      <c r="I33" s="124">
        <f>IF(I32="",0,(I31+I32)/2)</f>
        <v>13759499.499165442</v>
      </c>
      <c r="J33" s="124">
        <f>IF(J32="",0,(J31+J32)/2)</f>
        <v>46357276.515999988</v>
      </c>
      <c r="K33" s="124">
        <f>IF(K32="",0,(K31+K32)/2)</f>
        <v>60116775.757165439</v>
      </c>
      <c r="L33" s="63"/>
      <c r="M33" s="56"/>
      <c r="N33" s="56"/>
    </row>
    <row r="34" spans="1:14" ht="13.5" thickTop="1">
      <c r="B34" s="53"/>
      <c r="D34" s="59"/>
      <c r="E34" s="54"/>
      <c r="F34" s="54"/>
      <c r="H34" s="58"/>
      <c r="J34"/>
      <c r="K34" s="62"/>
      <c r="L34" s="63"/>
      <c r="M34" s="56"/>
      <c r="N34" s="56"/>
    </row>
    <row r="35" spans="1:14">
      <c r="A35" s="52"/>
      <c r="J35"/>
      <c r="K35" s="62"/>
      <c r="L35" s="63"/>
      <c r="M35" s="56"/>
      <c r="N35" s="56"/>
    </row>
    <row r="36" spans="1:14" ht="18">
      <c r="B36" s="1278" t="str">
        <f>"Prepayments Account 165 - Balance @ 12/31/"&amp;D38&amp;""</f>
        <v>Prepayments Account 165 - Balance @ 12/31/2026</v>
      </c>
      <c r="C36" s="1279"/>
      <c r="D36" s="1279"/>
      <c r="E36" s="1279"/>
      <c r="F36" s="1279"/>
      <c r="G36" s="1279"/>
      <c r="H36" s="1279"/>
      <c r="I36" s="1279"/>
      <c r="J36" s="1279"/>
      <c r="K36" s="62"/>
      <c r="L36" s="63"/>
      <c r="M36" s="56"/>
      <c r="N36" s="56"/>
    </row>
    <row r="37" spans="1:14">
      <c r="B37" s="111"/>
      <c r="C37" s="113"/>
      <c r="D37" s="15"/>
      <c r="E37" s="6"/>
      <c r="G37" s="6" t="s">
        <v>87</v>
      </c>
      <c r="I37" s="4" t="s">
        <v>115</v>
      </c>
      <c r="J37" s="4" t="s">
        <v>115</v>
      </c>
      <c r="K37" s="4" t="s">
        <v>179</v>
      </c>
      <c r="L37"/>
      <c r="M37" s="56"/>
      <c r="N37" s="56"/>
    </row>
    <row r="38" spans="1:14">
      <c r="B38" s="111"/>
      <c r="C38" s="114"/>
      <c r="D38" s="115" t="str">
        <f>""&amp;TCOS!L4</f>
        <v>2026</v>
      </c>
      <c r="E38" s="4" t="s">
        <v>530</v>
      </c>
      <c r="G38" s="4" t="s">
        <v>115</v>
      </c>
      <c r="I38" s="4" t="s">
        <v>523</v>
      </c>
      <c r="J38" s="4" t="s">
        <v>161</v>
      </c>
      <c r="K38" s="4" t="s">
        <v>180</v>
      </c>
      <c r="L38"/>
      <c r="M38" s="56"/>
      <c r="N38" s="56"/>
    </row>
    <row r="39" spans="1:14">
      <c r="A39" s="53">
        <f>+A33+1</f>
        <v>9</v>
      </c>
      <c r="B39" s="8" t="s">
        <v>90</v>
      </c>
      <c r="C39" s="8" t="s">
        <v>167</v>
      </c>
      <c r="D39" s="8" t="s">
        <v>88</v>
      </c>
      <c r="E39" s="8" t="s">
        <v>502</v>
      </c>
      <c r="G39" s="8" t="s">
        <v>524</v>
      </c>
      <c r="I39" s="8" t="s">
        <v>524</v>
      </c>
      <c r="J39" s="8" t="s">
        <v>524</v>
      </c>
      <c r="K39" s="8" t="s">
        <v>525</v>
      </c>
      <c r="L39" s="8" t="s">
        <v>39</v>
      </c>
      <c r="M39" s="56"/>
      <c r="N39" s="56"/>
    </row>
    <row r="40" spans="1:14">
      <c r="B40" s="111"/>
      <c r="C40" s="113"/>
      <c r="D40" s="113"/>
      <c r="E40" s="113"/>
      <c r="G40" s="113"/>
      <c r="I40" s="113"/>
      <c r="J40" s="113"/>
      <c r="K40" s="169"/>
      <c r="L40"/>
      <c r="M40" s="56"/>
      <c r="N40" s="56"/>
    </row>
    <row r="41" spans="1:14" ht="14.25">
      <c r="A41" s="53">
        <f>+A39+1</f>
        <v>10</v>
      </c>
      <c r="B41" s="606" t="s">
        <v>858</v>
      </c>
      <c r="C41" s="607" t="s">
        <v>859</v>
      </c>
      <c r="D41" s="608">
        <v>450016.54217739805</v>
      </c>
      <c r="E41" s="75">
        <f>+D41-K41</f>
        <v>0</v>
      </c>
      <c r="F41" s="1121"/>
      <c r="G41" s="79"/>
      <c r="H41" s="1121"/>
      <c r="I41" s="79">
        <f>D41</f>
        <v>450016.54217739805</v>
      </c>
      <c r="J41" s="79"/>
      <c r="K41" s="79">
        <f t="shared" ref="K41:K48" si="0">+G41+I41+J41</f>
        <v>450016.54217739805</v>
      </c>
      <c r="L41" t="s">
        <v>531</v>
      </c>
      <c r="M41" s="56"/>
      <c r="N41" s="56"/>
    </row>
    <row r="42" spans="1:14" ht="14.25">
      <c r="A42" s="53">
        <f t="shared" ref="A42:A51" si="1">+A41+1</f>
        <v>11</v>
      </c>
      <c r="B42" s="609" t="s">
        <v>1016</v>
      </c>
      <c r="C42" s="607" t="s">
        <v>884</v>
      </c>
      <c r="D42" s="608">
        <v>0</v>
      </c>
      <c r="E42" s="75">
        <f>D42</f>
        <v>0</v>
      </c>
      <c r="F42" s="1121"/>
      <c r="G42" s="79"/>
      <c r="H42" s="1121"/>
      <c r="I42" s="79"/>
      <c r="J42" s="79"/>
      <c r="K42" s="79">
        <f t="shared" si="0"/>
        <v>0</v>
      </c>
      <c r="L42" t="s">
        <v>886</v>
      </c>
      <c r="M42" s="56"/>
      <c r="N42" s="56"/>
    </row>
    <row r="43" spans="1:14" ht="14.25">
      <c r="A43" s="53">
        <f t="shared" si="1"/>
        <v>12</v>
      </c>
      <c r="B43" s="609" t="s">
        <v>1017</v>
      </c>
      <c r="C43" s="607" t="s">
        <v>884</v>
      </c>
      <c r="D43" s="608">
        <v>0</v>
      </c>
      <c r="E43" s="75"/>
      <c r="F43" s="1121"/>
      <c r="G43" s="79"/>
      <c r="H43" s="1121"/>
      <c r="I43" s="79"/>
      <c r="J43" s="79"/>
      <c r="K43" s="79">
        <f t="shared" si="0"/>
        <v>0</v>
      </c>
      <c r="L43" t="s">
        <v>884</v>
      </c>
      <c r="M43" s="56"/>
      <c r="N43" s="56"/>
    </row>
    <row r="44" spans="1:14" ht="14.25">
      <c r="A44" s="53">
        <f t="shared" si="1"/>
        <v>13</v>
      </c>
      <c r="B44" s="1054">
        <v>165000222</v>
      </c>
      <c r="C44" s="607" t="s">
        <v>884</v>
      </c>
      <c r="D44" s="608">
        <v>0</v>
      </c>
      <c r="E44" s="75">
        <f t="shared" ref="E44:E50" si="2">+D44-K44</f>
        <v>0</v>
      </c>
      <c r="F44" s="1121"/>
      <c r="G44" s="79"/>
      <c r="H44" s="1121"/>
      <c r="I44" s="79"/>
      <c r="J44" s="79"/>
      <c r="K44" s="79">
        <f t="shared" si="0"/>
        <v>0</v>
      </c>
      <c r="L44" t="s">
        <v>1014</v>
      </c>
      <c r="M44" s="56"/>
      <c r="N44" s="56"/>
    </row>
    <row r="45" spans="1:14" ht="14.25">
      <c r="A45" s="53">
        <f t="shared" si="1"/>
        <v>14</v>
      </c>
      <c r="B45" s="606" t="s">
        <v>1018</v>
      </c>
      <c r="C45" s="607" t="s">
        <v>1014</v>
      </c>
      <c r="D45" s="608">
        <v>48255369.387135968</v>
      </c>
      <c r="E45" s="75">
        <f t="shared" si="2"/>
        <v>48255369.387135968</v>
      </c>
      <c r="F45" s="1121"/>
      <c r="G45" s="1122"/>
      <c r="H45" s="1121"/>
      <c r="I45" s="1122"/>
      <c r="J45" s="1122"/>
      <c r="K45" s="1122"/>
      <c r="L45" t="s">
        <v>887</v>
      </c>
      <c r="M45" s="56"/>
      <c r="N45" s="56"/>
    </row>
    <row r="46" spans="1:14" ht="14.25">
      <c r="A46" s="53">
        <f t="shared" si="1"/>
        <v>15</v>
      </c>
      <c r="B46" s="606" t="s">
        <v>860</v>
      </c>
      <c r="C46" s="607" t="s">
        <v>861</v>
      </c>
      <c r="D46" s="608">
        <v>35120321.789999992</v>
      </c>
      <c r="E46" s="75">
        <f t="shared" si="2"/>
        <v>0</v>
      </c>
      <c r="F46" s="1121"/>
      <c r="G46" s="79"/>
      <c r="H46" s="1121"/>
      <c r="I46" s="79"/>
      <c r="J46" s="79">
        <f>D46</f>
        <v>35120321.789999992</v>
      </c>
      <c r="K46" s="1122">
        <f t="shared" si="0"/>
        <v>35120321.789999992</v>
      </c>
      <c r="L46" s="192" t="s">
        <v>892</v>
      </c>
      <c r="M46" s="56"/>
      <c r="N46" s="56"/>
    </row>
    <row r="47" spans="1:14" ht="14.25">
      <c r="A47" s="53">
        <f t="shared" si="1"/>
        <v>16</v>
      </c>
      <c r="B47" s="606" t="s">
        <v>862</v>
      </c>
      <c r="C47" s="607" t="s">
        <v>863</v>
      </c>
      <c r="D47" s="608">
        <v>-35120321.789999992</v>
      </c>
      <c r="E47" s="75">
        <f t="shared" si="2"/>
        <v>-35120321.789999992</v>
      </c>
      <c r="F47" s="1121"/>
      <c r="G47" s="79"/>
      <c r="H47" s="1121"/>
      <c r="I47" s="79"/>
      <c r="J47" s="79"/>
      <c r="K47" s="1122">
        <f t="shared" si="0"/>
        <v>0</v>
      </c>
      <c r="L47" t="s">
        <v>114</v>
      </c>
      <c r="M47" s="56"/>
      <c r="N47" s="56"/>
    </row>
    <row r="48" spans="1:14" ht="14.25">
      <c r="A48" s="53">
        <f t="shared" si="1"/>
        <v>17</v>
      </c>
      <c r="B48" s="958" t="s">
        <v>885</v>
      </c>
      <c r="C48" s="607" t="s">
        <v>864</v>
      </c>
      <c r="D48" s="608">
        <v>16032933.140164079</v>
      </c>
      <c r="E48" s="75">
        <f t="shared" si="2"/>
        <v>0</v>
      </c>
      <c r="F48" s="1121"/>
      <c r="G48" s="79"/>
      <c r="H48" s="1121"/>
      <c r="I48" s="79">
        <f>D48</f>
        <v>16032933.140164079</v>
      </c>
      <c r="J48" s="79"/>
      <c r="K48" s="1122">
        <f t="shared" si="0"/>
        <v>16032933.140164079</v>
      </c>
      <c r="L48" t="s">
        <v>889</v>
      </c>
      <c r="M48" s="56"/>
      <c r="N48" s="56"/>
    </row>
    <row r="49" spans="1:15" ht="14.25">
      <c r="A49" s="53">
        <f t="shared" si="1"/>
        <v>18</v>
      </c>
      <c r="B49" s="959" t="s">
        <v>1019</v>
      </c>
      <c r="C49" s="607" t="s">
        <v>1020</v>
      </c>
      <c r="D49" s="608">
        <v>11510954.726</v>
      </c>
      <c r="E49" s="75">
        <f t="shared" si="2"/>
        <v>0</v>
      </c>
      <c r="F49" s="1121"/>
      <c r="G49" s="1122"/>
      <c r="H49" s="1121"/>
      <c r="I49" s="1122"/>
      <c r="J49" s="1122">
        <f>D49</f>
        <v>11510954.726</v>
      </c>
      <c r="K49" s="1122">
        <f>+G49+I49+J49</f>
        <v>11510954.726</v>
      </c>
      <c r="L49" t="s">
        <v>890</v>
      </c>
      <c r="M49" s="56"/>
      <c r="N49" s="56"/>
    </row>
    <row r="50" spans="1:15" ht="14.25">
      <c r="A50" s="53">
        <f t="shared" si="1"/>
        <v>19</v>
      </c>
      <c r="B50" s="959" t="s">
        <v>1021</v>
      </c>
      <c r="C50" s="607" t="s">
        <v>1022</v>
      </c>
      <c r="D50" s="608">
        <v>-11510954.726</v>
      </c>
      <c r="E50" s="75">
        <f t="shared" si="2"/>
        <v>-11510954.726</v>
      </c>
      <c r="F50" s="1121"/>
      <c r="G50" s="1122"/>
      <c r="H50" s="1121"/>
      <c r="I50" s="1122"/>
      <c r="J50" s="1122"/>
      <c r="K50" s="1122">
        <f>+G50+I50+J50</f>
        <v>0</v>
      </c>
      <c r="L50" t="s">
        <v>892</v>
      </c>
      <c r="M50" s="56"/>
      <c r="N50" s="56"/>
    </row>
    <row r="51" spans="1:15" ht="14.25">
      <c r="A51" s="53">
        <f t="shared" si="1"/>
        <v>20</v>
      </c>
      <c r="B51" s="959" t="s">
        <v>1100</v>
      </c>
      <c r="C51" s="607" t="s">
        <v>1101</v>
      </c>
      <c r="D51" s="608">
        <v>0</v>
      </c>
      <c r="E51" s="75">
        <f>D51</f>
        <v>0</v>
      </c>
      <c r="F51" s="1121"/>
      <c r="G51" s="79"/>
      <c r="H51" s="1121"/>
      <c r="I51" s="79"/>
      <c r="J51" s="79"/>
      <c r="K51" s="79">
        <f t="shared" ref="K51" si="3">+G51+I51+J51</f>
        <v>0</v>
      </c>
      <c r="L51"/>
      <c r="M51" s="56"/>
      <c r="N51" s="56"/>
    </row>
    <row r="52" spans="1:15" ht="15" thickBot="1">
      <c r="B52" s="609"/>
      <c r="C52" s="607"/>
      <c r="D52" s="608"/>
      <c r="E52" s="1024"/>
      <c r="G52" s="1023"/>
      <c r="I52" s="1023"/>
      <c r="J52" s="1023"/>
      <c r="K52" s="1024"/>
      <c r="L52" t="s">
        <v>114</v>
      </c>
      <c r="M52" s="56"/>
      <c r="N52" s="56"/>
    </row>
    <row r="53" spans="1:15" ht="14.25">
      <c r="B53" s="111"/>
      <c r="C53" s="23" t="s">
        <v>503</v>
      </c>
      <c r="D53" s="610">
        <f>SUM(D41:D52)</f>
        <v>64738319.069477439</v>
      </c>
      <c r="E53" s="175">
        <f>SUM(E41:E52)</f>
        <v>1624092.8711359762</v>
      </c>
      <c r="G53" s="116">
        <f>SUM(G41:G52)</f>
        <v>0</v>
      </c>
      <c r="I53" s="116">
        <f>SUM(I41:I52)</f>
        <v>16482949.682341477</v>
      </c>
      <c r="J53" s="116">
        <f>SUM(J41:J52)</f>
        <v>46631276.515999988</v>
      </c>
      <c r="K53" s="116">
        <f>SUM(K41:K52)</f>
        <v>63114226.198341474</v>
      </c>
      <c r="L53"/>
      <c r="M53" s="56"/>
      <c r="N53" s="56"/>
    </row>
    <row r="54" spans="1:15">
      <c r="K54" s="47"/>
      <c r="L54"/>
      <c r="M54" s="56"/>
      <c r="N54" s="56"/>
    </row>
    <row r="55" spans="1:15">
      <c r="B55"/>
      <c r="C55"/>
      <c r="D55"/>
      <c r="E55"/>
      <c r="F55"/>
      <c r="G55"/>
      <c r="H55"/>
      <c r="I55"/>
      <c r="J55"/>
      <c r="K55"/>
      <c r="L55"/>
      <c r="M55"/>
      <c r="N55"/>
      <c r="O55"/>
    </row>
    <row r="56" spans="1:15" ht="18">
      <c r="B56" s="1278" t="str">
        <f>"Prepayments Account 165 - Balance @ 12/31/ "&amp;D58&amp;""</f>
        <v>Prepayments Account 165 - Balance @ 12/31/ 2025</v>
      </c>
      <c r="C56" s="1278"/>
      <c r="D56" s="1278"/>
      <c r="E56" s="1278"/>
      <c r="F56" s="1278"/>
      <c r="G56" s="1278"/>
      <c r="H56" s="1278"/>
      <c r="I56" s="1278"/>
      <c r="J56" s="1278"/>
      <c r="K56" s="62"/>
      <c r="L56" s="63"/>
      <c r="M56" s="56"/>
      <c r="N56"/>
      <c r="O56"/>
    </row>
    <row r="57" spans="1:15">
      <c r="B57" s="186"/>
      <c r="C57" s="187"/>
      <c r="D57" s="188"/>
      <c r="E57" s="6"/>
      <c r="G57" s="6" t="s">
        <v>87</v>
      </c>
      <c r="I57" s="4" t="s">
        <v>115</v>
      </c>
      <c r="J57" s="4" t="s">
        <v>115</v>
      </c>
      <c r="K57" s="4" t="s">
        <v>179</v>
      </c>
      <c r="L57"/>
      <c r="M57" s="56"/>
      <c r="N57"/>
      <c r="O57"/>
    </row>
    <row r="58" spans="1:15">
      <c r="B58" s="186"/>
      <c r="C58" s="189"/>
      <c r="D58" s="4" t="str">
        <f>""&amp;TCOS!L4-1</f>
        <v>2025</v>
      </c>
      <c r="E58" s="4" t="s">
        <v>530</v>
      </c>
      <c r="G58" s="4" t="s">
        <v>115</v>
      </c>
      <c r="I58" s="4" t="s">
        <v>523</v>
      </c>
      <c r="J58" s="4" t="s">
        <v>161</v>
      </c>
      <c r="K58" s="4" t="s">
        <v>180</v>
      </c>
      <c r="L58"/>
      <c r="M58" s="56"/>
      <c r="N58"/>
      <c r="O58"/>
    </row>
    <row r="59" spans="1:15">
      <c r="A59" s="53">
        <f>A51+1</f>
        <v>21</v>
      </c>
      <c r="B59" s="8" t="s">
        <v>90</v>
      </c>
      <c r="C59" s="8" t="s">
        <v>167</v>
      </c>
      <c r="D59" s="8" t="s">
        <v>88</v>
      </c>
      <c r="E59" s="8" t="s">
        <v>502</v>
      </c>
      <c r="G59" s="8" t="s">
        <v>524</v>
      </c>
      <c r="I59" s="8" t="s">
        <v>524</v>
      </c>
      <c r="J59" s="8" t="s">
        <v>524</v>
      </c>
      <c r="K59" s="8" t="s">
        <v>525</v>
      </c>
      <c r="L59" s="8" t="s">
        <v>39</v>
      </c>
      <c r="M59" s="56"/>
      <c r="N59"/>
      <c r="O59"/>
    </row>
    <row r="60" spans="1:15">
      <c r="B60" s="111"/>
      <c r="C60" s="113"/>
      <c r="D60" s="113"/>
      <c r="E60" s="113"/>
      <c r="G60" s="113"/>
      <c r="I60" s="113"/>
      <c r="J60" s="113"/>
      <c r="K60" s="113"/>
      <c r="L60"/>
      <c r="M60" s="56"/>
      <c r="N60"/>
      <c r="O60"/>
    </row>
    <row r="61" spans="1:15" ht="14.25">
      <c r="A61" s="53">
        <f>+A59+1</f>
        <v>22</v>
      </c>
      <c r="B61" s="606" t="s">
        <v>858</v>
      </c>
      <c r="C61" s="607" t="s">
        <v>859</v>
      </c>
      <c r="D61" s="608">
        <v>301305.57365286467</v>
      </c>
      <c r="E61" s="75">
        <f>+D61-K61</f>
        <v>0</v>
      </c>
      <c r="F61" s="1121"/>
      <c r="G61" s="79"/>
      <c r="H61" s="1121"/>
      <c r="I61" s="79">
        <f>D61</f>
        <v>301305.57365286467</v>
      </c>
      <c r="J61" s="79"/>
      <c r="K61" s="79">
        <f t="shared" ref="K61:K68" si="4">+G61+I61+J61</f>
        <v>301305.57365286467</v>
      </c>
      <c r="L61" t="s">
        <v>531</v>
      </c>
      <c r="M61" s="56"/>
      <c r="N61"/>
      <c r="O61"/>
    </row>
    <row r="62" spans="1:15" ht="14.25">
      <c r="A62" s="53">
        <f t="shared" ref="A62:A71" si="5">+A61+1</f>
        <v>23</v>
      </c>
      <c r="B62" s="609" t="s">
        <v>1016</v>
      </c>
      <c r="C62" s="607" t="s">
        <v>884</v>
      </c>
      <c r="D62" s="608">
        <v>0</v>
      </c>
      <c r="E62" s="75">
        <f>D62</f>
        <v>0</v>
      </c>
      <c r="F62" s="1121"/>
      <c r="G62" s="79"/>
      <c r="H62" s="1121"/>
      <c r="I62" s="79"/>
      <c r="J62" s="79"/>
      <c r="K62" s="79">
        <f t="shared" si="4"/>
        <v>0</v>
      </c>
      <c r="L62" t="s">
        <v>886</v>
      </c>
      <c r="M62" s="56"/>
      <c r="N62"/>
      <c r="O62"/>
    </row>
    <row r="63" spans="1:15" ht="14.25">
      <c r="A63" s="53">
        <f t="shared" si="5"/>
        <v>24</v>
      </c>
      <c r="B63" s="609" t="s">
        <v>1017</v>
      </c>
      <c r="C63" s="607" t="s">
        <v>884</v>
      </c>
      <c r="D63" s="608">
        <v>0</v>
      </c>
      <c r="E63" s="75"/>
      <c r="F63" s="1121"/>
      <c r="G63" s="79"/>
      <c r="H63" s="1121"/>
      <c r="I63" s="79"/>
      <c r="J63" s="79"/>
      <c r="K63" s="79">
        <f t="shared" si="4"/>
        <v>0</v>
      </c>
      <c r="L63" t="s">
        <v>884</v>
      </c>
      <c r="M63" s="56"/>
      <c r="N63"/>
      <c r="O63"/>
    </row>
    <row r="64" spans="1:15" ht="14.25">
      <c r="A64" s="53">
        <f t="shared" si="5"/>
        <v>25</v>
      </c>
      <c r="B64" s="1054">
        <v>165000222</v>
      </c>
      <c r="C64" s="607" t="s">
        <v>884</v>
      </c>
      <c r="D64" s="608">
        <v>0</v>
      </c>
      <c r="E64" s="75">
        <f t="shared" ref="E64:E70" si="6">+D64-K64</f>
        <v>0</v>
      </c>
      <c r="F64" s="1121"/>
      <c r="G64" s="79"/>
      <c r="H64" s="1121"/>
      <c r="I64" s="79"/>
      <c r="J64" s="79"/>
      <c r="K64" s="79">
        <f t="shared" si="4"/>
        <v>0</v>
      </c>
      <c r="L64" t="s">
        <v>1014</v>
      </c>
      <c r="M64" s="56"/>
      <c r="N64"/>
      <c r="O64"/>
    </row>
    <row r="65" spans="1:15" ht="14.25">
      <c r="A65" s="53">
        <f t="shared" si="5"/>
        <v>26</v>
      </c>
      <c r="B65" s="606" t="s">
        <v>1018</v>
      </c>
      <c r="C65" s="607" t="s">
        <v>1014</v>
      </c>
      <c r="D65" s="608">
        <v>32309060.650686752</v>
      </c>
      <c r="E65" s="75">
        <f t="shared" si="6"/>
        <v>32309060.650686752</v>
      </c>
      <c r="F65" s="1121"/>
      <c r="G65" s="1122"/>
      <c r="H65" s="1121"/>
      <c r="I65" s="1122"/>
      <c r="J65" s="1122"/>
      <c r="K65" s="1122"/>
      <c r="L65" t="s">
        <v>887</v>
      </c>
      <c r="M65" s="56"/>
      <c r="N65"/>
      <c r="O65"/>
    </row>
    <row r="66" spans="1:15" ht="14.25">
      <c r="A66" s="53">
        <f t="shared" si="5"/>
        <v>27</v>
      </c>
      <c r="B66" s="606" t="s">
        <v>860</v>
      </c>
      <c r="C66" s="607" t="s">
        <v>861</v>
      </c>
      <c r="D66" s="608">
        <v>34572321.789999992</v>
      </c>
      <c r="E66" s="75">
        <f t="shared" si="6"/>
        <v>0</v>
      </c>
      <c r="F66" s="1121"/>
      <c r="G66" s="79"/>
      <c r="H66" s="1121"/>
      <c r="I66" s="79"/>
      <c r="J66" s="79">
        <f>D66</f>
        <v>34572321.789999992</v>
      </c>
      <c r="K66" s="1122">
        <f t="shared" si="4"/>
        <v>34572321.789999992</v>
      </c>
      <c r="L66" s="192" t="s">
        <v>892</v>
      </c>
      <c r="M66" s="56"/>
      <c r="N66"/>
      <c r="O66"/>
    </row>
    <row r="67" spans="1:15" ht="14.25">
      <c r="A67" s="53">
        <f t="shared" si="5"/>
        <v>28</v>
      </c>
      <c r="B67" s="606" t="s">
        <v>862</v>
      </c>
      <c r="C67" s="607" t="s">
        <v>863</v>
      </c>
      <c r="D67" s="608">
        <v>-34572321.789999992</v>
      </c>
      <c r="E67" s="75">
        <f t="shared" si="6"/>
        <v>-34572321.789999992</v>
      </c>
      <c r="F67" s="1121"/>
      <c r="G67" s="79"/>
      <c r="H67" s="1121"/>
      <c r="I67" s="79"/>
      <c r="J67" s="79"/>
      <c r="K67" s="1122">
        <f t="shared" si="4"/>
        <v>0</v>
      </c>
      <c r="L67" t="s">
        <v>114</v>
      </c>
      <c r="M67" s="56"/>
      <c r="N67"/>
      <c r="O67"/>
    </row>
    <row r="68" spans="1:15" ht="14.25">
      <c r="A68" s="53">
        <f t="shared" si="5"/>
        <v>29</v>
      </c>
      <c r="B68" s="958" t="s">
        <v>885</v>
      </c>
      <c r="C68" s="607" t="s">
        <v>864</v>
      </c>
      <c r="D68" s="608">
        <v>10734743.42467802</v>
      </c>
      <c r="E68" s="75">
        <f t="shared" si="6"/>
        <v>0</v>
      </c>
      <c r="F68" s="1121"/>
      <c r="G68" s="79"/>
      <c r="H68" s="1121"/>
      <c r="I68" s="79">
        <f>D68</f>
        <v>10734743.42467802</v>
      </c>
      <c r="J68" s="79"/>
      <c r="K68" s="1122">
        <f t="shared" si="4"/>
        <v>10734743.42467802</v>
      </c>
      <c r="L68" t="s">
        <v>889</v>
      </c>
      <c r="M68" s="56"/>
      <c r="N68"/>
      <c r="O68"/>
    </row>
    <row r="69" spans="1:15" ht="14.25">
      <c r="A69" s="53">
        <f t="shared" si="5"/>
        <v>30</v>
      </c>
      <c r="B69" s="959" t="s">
        <v>1019</v>
      </c>
      <c r="C69" s="607" t="s">
        <v>1020</v>
      </c>
      <c r="D69" s="608">
        <v>11510954.726</v>
      </c>
      <c r="E69" s="75">
        <f t="shared" si="6"/>
        <v>0</v>
      </c>
      <c r="F69" s="1121"/>
      <c r="G69" s="1122"/>
      <c r="H69" s="1121"/>
      <c r="I69" s="1122"/>
      <c r="J69" s="1122">
        <f>D69</f>
        <v>11510954.726</v>
      </c>
      <c r="K69" s="1122">
        <f>+G69+I69+J69</f>
        <v>11510954.726</v>
      </c>
      <c r="L69" t="s">
        <v>890</v>
      </c>
      <c r="M69" s="56"/>
      <c r="N69"/>
      <c r="O69"/>
    </row>
    <row r="70" spans="1:15" ht="14.25">
      <c r="A70" s="53">
        <f t="shared" si="5"/>
        <v>31</v>
      </c>
      <c r="B70" s="959" t="s">
        <v>1021</v>
      </c>
      <c r="C70" s="607" t="s">
        <v>1022</v>
      </c>
      <c r="D70" s="608">
        <v>-11510954.726</v>
      </c>
      <c r="E70" s="75">
        <f t="shared" si="6"/>
        <v>-11510954.726</v>
      </c>
      <c r="F70" s="1121"/>
      <c r="G70" s="1122"/>
      <c r="H70" s="1121"/>
      <c r="I70" s="1122"/>
      <c r="J70" s="1122"/>
      <c r="K70" s="1122">
        <f>+G70+I70+J70</f>
        <v>0</v>
      </c>
      <c r="L70" t="s">
        <v>892</v>
      </c>
      <c r="M70" s="56"/>
      <c r="N70"/>
      <c r="O70"/>
    </row>
    <row r="71" spans="1:15" ht="14.25">
      <c r="A71" s="53">
        <f t="shared" si="5"/>
        <v>32</v>
      </c>
      <c r="B71" s="959" t="s">
        <v>1100</v>
      </c>
      <c r="C71" s="607" t="s">
        <v>1101</v>
      </c>
      <c r="D71" s="608">
        <v>0</v>
      </c>
      <c r="E71" s="75">
        <f>D71</f>
        <v>0</v>
      </c>
      <c r="F71" s="1121"/>
      <c r="G71" s="79"/>
      <c r="H71" s="1121"/>
      <c r="I71" s="79"/>
      <c r="J71" s="79"/>
      <c r="K71" s="79">
        <f t="shared" ref="K71" si="7">+G71+I71+J71</f>
        <v>0</v>
      </c>
      <c r="L71"/>
      <c r="M71" s="56"/>
      <c r="N71"/>
      <c r="O71"/>
    </row>
    <row r="72" spans="1:15" ht="14.25">
      <c r="B72" s="609"/>
      <c r="C72" s="607"/>
      <c r="D72" s="608"/>
      <c r="E72" s="1024"/>
      <c r="G72" s="1023">
        <v>0</v>
      </c>
      <c r="I72" s="1023"/>
      <c r="J72" s="1023"/>
      <c r="K72" s="1024"/>
      <c r="L72" t="s">
        <v>114</v>
      </c>
      <c r="M72" s="56"/>
      <c r="N72"/>
      <c r="O72"/>
    </row>
    <row r="73" spans="1:15" ht="13.5" thickBot="1">
      <c r="B73" s="18"/>
      <c r="C73" s="18"/>
      <c r="D73" s="108"/>
      <c r="E73" s="75"/>
      <c r="G73" s="79"/>
      <c r="I73" s="79"/>
      <c r="J73" s="79"/>
      <c r="K73" s="79"/>
      <c r="L73" t="s">
        <v>114</v>
      </c>
      <c r="M73" s="56"/>
      <c r="N73"/>
      <c r="O73"/>
    </row>
    <row r="74" spans="1:15" ht="14.25">
      <c r="B74" s="111"/>
      <c r="C74" s="23" t="s">
        <v>383</v>
      </c>
      <c r="D74" s="610">
        <f>IF(SUM(D61:D73)=0,"",SUM(D61:D73))</f>
        <v>43345109.649017647</v>
      </c>
      <c r="E74" s="175">
        <f>IF(SUM(E61:E73)=0,"",SUM(E61:E73))</f>
        <v>-13774215.865313239</v>
      </c>
      <c r="G74" s="116" t="str">
        <f>IF(SUM(G61:G73)=0,"",SUM(G61:G73))</f>
        <v/>
      </c>
      <c r="I74" s="116">
        <f>IF(SUM(I61:I73)=0,"",SUM(I61:I73))</f>
        <v>11036048.998330886</v>
      </c>
      <c r="J74" s="116">
        <f>IF(SUM(J61:J73)=0,"",SUM(J61:J73))</f>
        <v>46083276.515999988</v>
      </c>
      <c r="K74" s="116">
        <f>IF(SUM(K61:K73)=0,"",SUM(K61:K73))</f>
        <v>57119325.514330879</v>
      </c>
      <c r="L74"/>
      <c r="M74" s="56"/>
      <c r="N74"/>
      <c r="O74"/>
    </row>
    <row r="75" spans="1:15">
      <c r="B75" s="53"/>
      <c r="C75"/>
      <c r="D75"/>
      <c r="E75"/>
      <c r="F75"/>
      <c r="G75"/>
      <c r="H75"/>
      <c r="I75"/>
      <c r="J75"/>
      <c r="K75"/>
      <c r="L75"/>
      <c r="M75"/>
      <c r="N75"/>
      <c r="O75"/>
    </row>
    <row r="76" spans="1:15" ht="18.75" customHeight="1">
      <c r="A76" s="53" t="s">
        <v>624</v>
      </c>
      <c r="B76" s="1257" t="s">
        <v>815</v>
      </c>
      <c r="C76" s="1257"/>
      <c r="D76" s="1257"/>
      <c r="E76" s="1257"/>
      <c r="F76" s="1257"/>
      <c r="G76" s="1257"/>
      <c r="H76" s="1257"/>
      <c r="I76" s="1257"/>
      <c r="J76" s="1257"/>
      <c r="K76" s="1257"/>
      <c r="L76" s="1257"/>
      <c r="M76"/>
      <c r="N76"/>
      <c r="O76"/>
    </row>
    <row r="77" spans="1:15" ht="18.75" customHeight="1">
      <c r="A77" s="3"/>
      <c r="B77" s="1257"/>
      <c r="C77" s="1257"/>
      <c r="D77" s="1257"/>
      <c r="E77" s="1257"/>
      <c r="F77" s="1257"/>
      <c r="G77" s="1257"/>
      <c r="H77" s="1257"/>
      <c r="I77" s="1257"/>
      <c r="J77" s="1257"/>
      <c r="K77" s="1257"/>
      <c r="L77" s="1257"/>
      <c r="M77"/>
      <c r="N77"/>
      <c r="O77"/>
    </row>
  </sheetData>
  <mergeCells count="12">
    <mergeCell ref="B76:L77"/>
    <mergeCell ref="B10:K10"/>
    <mergeCell ref="A3:L3"/>
    <mergeCell ref="A4:L4"/>
    <mergeCell ref="A5:L5"/>
    <mergeCell ref="A6:L6"/>
    <mergeCell ref="B56:J56"/>
    <mergeCell ref="B26:K26"/>
    <mergeCell ref="E12:E13"/>
    <mergeCell ref="I12:I13"/>
    <mergeCell ref="B36:J36"/>
    <mergeCell ref="G12:G13"/>
  </mergeCells>
  <phoneticPr fontId="4" type="noConversion"/>
  <pageMargins left="1.08" right="0.75" top="1" bottom="0.41" header="0.86" footer="0.27"/>
  <pageSetup scale="49"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C8yMi8yMDIzIDI6MjM6MzA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A787B354-267C-4CDF-9228-37F6E1D7D667}">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3A39B55-A235-4FF1-9A2A-C125D4870B4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31</vt:i4>
      </vt:variant>
      <vt:variant>
        <vt:lpstr>Named Ranges</vt:lpstr>
      </vt:variant>
      <vt:variant>
        <vt:i4>9</vt:i4>
      </vt:variant>
    </vt:vector>
  </HeadingPairs>
  <TitlesOfParts>
    <vt:vector size="40"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WSQ Schedule 1A</vt:lpstr>
      <vt:lpstr>KGP - WS P Dep. Rates</vt:lpstr>
      <vt:lpstr>KPC - WS P Dep. Rates</vt:lpstr>
      <vt:lpstr>OPC - WS P Dep. Rates</vt:lpstr>
      <vt:lpstr>WPC-WS P Dep. Rates</vt:lpstr>
      <vt:lpstr>WSQ NSPR</vt:lpstr>
      <vt:lpstr>WSQ Schedule 12</vt:lpstr>
      <vt:lpstr>TCOS!Print_Area</vt:lpstr>
      <vt:lpstr>'WS B-2 - Actual Stmt. AG'!Print_Area</vt:lpstr>
      <vt:lpstr>'WS B-3-A'!Print_Area</vt:lpstr>
      <vt:lpstr>'WS E Rev Credits'!Print_Area</vt:lpstr>
      <vt:lpstr>'WS J PROJECTED RTEP RR'!Print_Area</vt:lpstr>
      <vt:lpstr>'WS L Reserved'!Print_Area</vt:lpstr>
      <vt:lpstr>'WS M - Cost of Capital'!Print_Area</vt:lpstr>
      <vt:lpstr>'WS O - PBOP'!Print_Area</vt:lpstr>
      <vt:lpstr>'WSQ NSPR'!Print_Area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2025-10-29T17:21:06Z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7d44b5e6-5197-4ad5-a92e-65a4af799af5</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{A787B354-267C-4CDF-9228-37F6E1D7D667}</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ies>
</file>